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danvillevt-my.sharepoint.com/personal/mleclerc_danvillevt_gov/Documents/Documents/Budget/2026 Budget/"/>
    </mc:Choice>
  </mc:AlternateContent>
  <xr:revisionPtr revIDLastSave="0" documentId="8_{E53AF7FE-1A7A-41A3-9AE0-738390D04B06}" xr6:coauthVersionLast="47" xr6:coauthVersionMax="47" xr10:uidLastSave="{00000000-0000-0000-0000-000000000000}"/>
  <bookViews>
    <workbookView xWindow="22932" yWindow="732" windowWidth="23256" windowHeight="12456" xr2:uid="{00000000-000D-0000-FFFF-FFFF00000000}"/>
  </bookViews>
  <sheets>
    <sheet name="General Fund Budget" sheetId="1" r:id="rId1"/>
    <sheet name="Appropriations" sheetId="10" r:id="rId2"/>
    <sheet name="Highway Budget" sheetId="6" r:id="rId3"/>
    <sheet name="Sewer" sheetId="9" r:id="rId4"/>
    <sheet name="Tax Rate" sheetId="5" r:id="rId5"/>
    <sheet name="Payroll &amp; Benefits" sheetId="8" r:id="rId6"/>
  </sheets>
  <definedNames>
    <definedName name="_xlnm.Print_Area" localSheetId="0">'General Fund Budget'!$A$1:$D$195</definedName>
    <definedName name="_xlnm.Print_Area" localSheetId="2">'Highway Budget'!$A$1:$D$132</definedName>
    <definedName name="_xlnm.Print_Area" localSheetId="3">Sewer!$A$1:$D$44</definedName>
    <definedName name="_xlnm.Print_Titles" localSheetId="0">'General Fund Budget'!$2:$5</definedName>
    <definedName name="_xlnm.Print_Titles" localSheetId="2">'Highway Budget'!$1:$3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4" i="6" l="1"/>
  <c r="C124" i="6"/>
  <c r="D124" i="6"/>
  <c r="C191" i="1"/>
  <c r="D10" i="8"/>
  <c r="F10" i="8"/>
  <c r="C27" i="6"/>
  <c r="J9" i="8"/>
  <c r="I9" i="8"/>
  <c r="H9" i="8"/>
  <c r="G9" i="8"/>
  <c r="G10" i="8" l="1"/>
  <c r="H10" i="8"/>
  <c r="I10" i="8"/>
  <c r="J10" i="8"/>
  <c r="D191" i="1"/>
  <c r="K6" i="8"/>
  <c r="D76" i="1"/>
  <c r="I38" i="8"/>
  <c r="H38" i="8"/>
  <c r="G38" i="8"/>
  <c r="I37" i="8"/>
  <c r="H37" i="8"/>
  <c r="G37" i="8"/>
  <c r="C64" i="6" l="1"/>
  <c r="C43" i="6"/>
  <c r="C128" i="6"/>
  <c r="D116" i="6" l="1"/>
  <c r="D118" i="6"/>
  <c r="D112" i="6"/>
  <c r="C73" i="6"/>
  <c r="C77" i="6" s="1"/>
  <c r="D95" i="6"/>
  <c r="D77" i="6"/>
  <c r="D64" i="6"/>
  <c r="D11" i="8"/>
  <c r="D8" i="6" l="1"/>
  <c r="D7" i="6"/>
  <c r="D164" i="1"/>
  <c r="F27" i="6" l="1"/>
  <c r="D89" i="1"/>
  <c r="D105" i="1" s="1"/>
  <c r="D14" i="9"/>
  <c r="D30" i="9"/>
  <c r="C30" i="9"/>
  <c r="C14" i="9"/>
  <c r="C32" i="9" l="1"/>
  <c r="D32" i="9"/>
  <c r="C164" i="1"/>
  <c r="C118" i="1"/>
  <c r="C32" i="8"/>
  <c r="D32" i="8" s="1"/>
  <c r="C31" i="8"/>
  <c r="D31" i="8" s="1"/>
  <c r="E18" i="8"/>
  <c r="E20" i="8" s="1"/>
  <c r="F19" i="8" l="1"/>
  <c r="F25" i="8" l="1"/>
  <c r="J19" i="8"/>
  <c r="D62" i="1"/>
  <c r="K19" i="8"/>
  <c r="K12" i="8"/>
  <c r="K25" i="8"/>
  <c r="K7" i="8"/>
  <c r="K5" i="8"/>
  <c r="D19" i="8"/>
  <c r="C17" i="8"/>
  <c r="D17" i="8" s="1"/>
  <c r="D6" i="8"/>
  <c r="E6" i="8" s="1"/>
  <c r="D7" i="8"/>
  <c r="E7" i="8" s="1"/>
  <c r="D8" i="8"/>
  <c r="E8" i="8" s="1"/>
  <c r="C25" i="8"/>
  <c r="D12" i="8"/>
  <c r="E12" i="8" s="1"/>
  <c r="D5" i="8"/>
  <c r="C153" i="1"/>
  <c r="D153" i="1"/>
  <c r="B153" i="1"/>
  <c r="C145" i="1"/>
  <c r="D145" i="1"/>
  <c r="C138" i="1"/>
  <c r="D138" i="1"/>
  <c r="C129" i="1"/>
  <c r="D129" i="1"/>
  <c r="D118" i="1"/>
  <c r="B14" i="9"/>
  <c r="B118" i="6"/>
  <c r="B112" i="6"/>
  <c r="B95" i="6"/>
  <c r="B77" i="6"/>
  <c r="B64" i="6"/>
  <c r="B17" i="10"/>
  <c r="B105" i="1"/>
  <c r="B16" i="1"/>
  <c r="C16" i="1"/>
  <c r="B54" i="1"/>
  <c r="C54" i="1"/>
  <c r="C84" i="1"/>
  <c r="C105" i="1"/>
  <c r="C17" i="10"/>
  <c r="C6" i="5" s="1"/>
  <c r="C193" i="1" l="1"/>
  <c r="C198" i="1" s="1"/>
  <c r="J25" i="8"/>
  <c r="D63" i="1"/>
  <c r="F17" i="8"/>
  <c r="D67" i="1" s="1"/>
  <c r="C56" i="1"/>
  <c r="C197" i="1" s="1"/>
  <c r="B56" i="1"/>
  <c r="C118" i="6"/>
  <c r="B40" i="9"/>
  <c r="B42" i="9" s="1"/>
  <c r="C199" i="1" l="1"/>
  <c r="B77" i="1"/>
  <c r="L27" i="8" l="1"/>
  <c r="K27" i="8"/>
  <c r="B80" i="1"/>
  <c r="B24" i="8"/>
  <c r="D24" i="8" s="1"/>
  <c r="F24" i="8" s="1"/>
  <c r="D75" i="1" s="1"/>
  <c r="F31" i="8"/>
  <c r="F32" i="8"/>
  <c r="F21" i="5" l="1"/>
  <c r="B30" i="9"/>
  <c r="B32" i="9" s="1"/>
  <c r="D49" i="6" l="1"/>
  <c r="C112" i="6"/>
  <c r="C95" i="6"/>
  <c r="C49" i="6"/>
  <c r="B49" i="6"/>
  <c r="B145" i="1"/>
  <c r="B81" i="1"/>
  <c r="L13" i="8"/>
  <c r="D34" i="6" s="1"/>
  <c r="L20" i="8"/>
  <c r="D78" i="1" s="1"/>
  <c r="G26" i="8"/>
  <c r="H26" i="8"/>
  <c r="G31" i="8"/>
  <c r="H31" i="8"/>
  <c r="I31" i="8"/>
  <c r="G32" i="8"/>
  <c r="H32" i="8"/>
  <c r="I32" i="8"/>
  <c r="I24" i="8"/>
  <c r="H24" i="8"/>
  <c r="G24" i="8"/>
  <c r="K20" i="8"/>
  <c r="D77" i="1" s="1"/>
  <c r="I19" i="8"/>
  <c r="I17" i="8"/>
  <c r="H19" i="8"/>
  <c r="H17" i="8"/>
  <c r="G19" i="8"/>
  <c r="G17" i="8"/>
  <c r="I25" i="8"/>
  <c r="H25" i="8"/>
  <c r="G25" i="8"/>
  <c r="B33" i="8"/>
  <c r="C33" i="8" s="1"/>
  <c r="D33" i="8" s="1"/>
  <c r="F33" i="8" s="1"/>
  <c r="F34" i="8" s="1"/>
  <c r="D65" i="1" s="1"/>
  <c r="B26" i="8"/>
  <c r="C26" i="8" s="1"/>
  <c r="D26" i="8" s="1"/>
  <c r="F26" i="8" s="1"/>
  <c r="D71" i="1" s="1"/>
  <c r="B18" i="8"/>
  <c r="C18" i="8" s="1"/>
  <c r="D18" i="8" s="1"/>
  <c r="D20" i="8" s="1"/>
  <c r="B191" i="1"/>
  <c r="B129" i="1"/>
  <c r="B138" i="1"/>
  <c r="B118" i="1"/>
  <c r="B193" i="1" l="1"/>
  <c r="I33" i="8"/>
  <c r="H33" i="8"/>
  <c r="G33" i="8"/>
  <c r="G34" i="8" s="1"/>
  <c r="I26" i="8"/>
  <c r="B34" i="6"/>
  <c r="L40" i="8"/>
  <c r="F27" i="8"/>
  <c r="G27" i="8"/>
  <c r="I27" i="8"/>
  <c r="B84" i="1"/>
  <c r="E13" i="8"/>
  <c r="D32" i="6" s="1"/>
  <c r="H27" i="8"/>
  <c r="I34" i="8"/>
  <c r="H34" i="8"/>
  <c r="C126" i="6"/>
  <c r="C129" i="6" s="1"/>
  <c r="C130" i="6" s="1"/>
  <c r="D13" i="8"/>
  <c r="D31" i="6" s="1"/>
  <c r="F11" i="8"/>
  <c r="H11" i="8" s="1"/>
  <c r="K13" i="8"/>
  <c r="F18" i="8"/>
  <c r="F6" i="8"/>
  <c r="J6" i="8" s="1"/>
  <c r="F5" i="8"/>
  <c r="J5" i="8" s="1"/>
  <c r="F7" i="8"/>
  <c r="J7" i="8" s="1"/>
  <c r="F12" i="8"/>
  <c r="D54" i="1"/>
  <c r="I18" i="8" l="1"/>
  <c r="I20" i="8" s="1"/>
  <c r="D80" i="1" s="1"/>
  <c r="J18" i="8"/>
  <c r="D66" i="1"/>
  <c r="K40" i="8"/>
  <c r="D33" i="6"/>
  <c r="F8" i="8"/>
  <c r="G8" i="8" s="1"/>
  <c r="G11" i="8"/>
  <c r="G12" i="8"/>
  <c r="J12" i="8"/>
  <c r="B33" i="6"/>
  <c r="I11" i="8"/>
  <c r="G18" i="8"/>
  <c r="G20" i="8" s="1"/>
  <c r="H6" i="8"/>
  <c r="J20" i="8"/>
  <c r="D81" i="1" s="1"/>
  <c r="F20" i="8"/>
  <c r="G6" i="8"/>
  <c r="I5" i="8"/>
  <c r="I6" i="8"/>
  <c r="H18" i="8"/>
  <c r="H20" i="8" s="1"/>
  <c r="G5" i="8"/>
  <c r="H5" i="8"/>
  <c r="I7" i="8"/>
  <c r="H7" i="8"/>
  <c r="I12" i="8"/>
  <c r="H12" i="8"/>
  <c r="G7" i="8"/>
  <c r="D79" i="1" l="1"/>
  <c r="D84" i="1" s="1"/>
  <c r="D193" i="1" s="1"/>
  <c r="I8" i="8"/>
  <c r="I13" i="8" s="1"/>
  <c r="D36" i="6" s="1"/>
  <c r="H8" i="8"/>
  <c r="H13" i="8" s="1"/>
  <c r="F13" i="8"/>
  <c r="J8" i="8"/>
  <c r="J13" i="8" s="1"/>
  <c r="D37" i="6" s="1"/>
  <c r="M20" i="8"/>
  <c r="G13" i="8"/>
  <c r="B43" i="6"/>
  <c r="B126" i="6" s="1"/>
  <c r="D9" i="1" l="1"/>
  <c r="D198" i="1"/>
  <c r="D35" i="6"/>
  <c r="D43" i="6" s="1"/>
  <c r="D126" i="6" s="1"/>
  <c r="D5" i="6" s="1"/>
  <c r="J23" i="5"/>
  <c r="M13" i="8"/>
  <c r="D27" i="6" l="1"/>
  <c r="E13" i="5"/>
  <c r="D16" i="1"/>
  <c r="D56" i="1" s="1"/>
  <c r="D197" i="1" s="1"/>
  <c r="D199" i="1" s="1"/>
  <c r="C12" i="5"/>
  <c r="C3" i="5"/>
  <c r="E4" i="5"/>
  <c r="E9" i="1"/>
  <c r="C19" i="10"/>
  <c r="C4" i="5"/>
  <c r="C5" i="5" l="1"/>
  <c r="D129" i="6"/>
  <c r="C7" i="5"/>
  <c r="B27" i="6" l="1"/>
  <c r="E3" i="5" l="1"/>
  <c r="E7" i="5" s="1"/>
  <c r="D128" i="6"/>
  <c r="D130" i="6" s="1"/>
  <c r="D132" i="6" s="1"/>
  <c r="F5" i="6"/>
  <c r="F14" i="5" l="1"/>
  <c r="E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Leclerc</author>
  </authors>
  <commentList>
    <comment ref="B38" authorId="0" shapeId="0" xr:uid="{2AB8EF7B-1AA9-49FC-A881-81380184E876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2024 6832
2025 6000
</t>
        </r>
      </text>
    </comment>
    <comment ref="D89" authorId="0" shapeId="0" xr:uid="{5E87FD66-5A4D-4857-9B2D-7BE439F2B09C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New Sharp copier 6000. 33% of it will come out of restoration fund
</t>
        </r>
      </text>
    </comment>
    <comment ref="D108" authorId="0" shapeId="0" xr:uid="{4B025DFE-D1D9-4783-AC24-344328EF5DE5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700 ANNUAL WW
</t>
        </r>
      </text>
    </comment>
    <comment ref="D110" authorId="0" shapeId="0" xr:uid="{33D374E8-67B8-467C-87E0-6C10B8DEC84D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1000 inspection
</t>
        </r>
      </text>
    </comment>
    <comment ref="B111" authorId="0" shapeId="0" xr:uid="{7BB8FB9C-1AEC-4F70-B2F7-EC8629DD1E51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maintenance, mowing, &amp; gardens
</t>
        </r>
      </text>
    </comment>
    <comment ref="D111" authorId="0" shapeId="0" xr:uid="{4E33282E-49A0-4EF5-9A42-79223102522F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500 for inspection</t>
        </r>
      </text>
    </comment>
    <comment ref="D121" authorId="0" shapeId="0" xr:uid="{AE270782-D5BC-41A2-B294-2B17A96CC724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700 ANNUAL WW
</t>
        </r>
      </text>
    </comment>
    <comment ref="D133" authorId="0" shapeId="0" xr:uid="{A9D0A0B4-9CBB-4FD8-9322-CF62AE293193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heating system 
1000 for inspection
</t>
        </r>
      </text>
    </comment>
    <comment ref="D156" authorId="0" shapeId="0" xr:uid="{1529DE57-F62B-4891-A876-0001A1597445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700 ANNUAL WW
</t>
        </r>
      </text>
    </comment>
    <comment ref="B186" authorId="0" shapeId="0" xr:uid="{722709ED-0C6E-4347-A560-AF61E17DE748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East and west entrances and FD, pumpkin hill, train station, GB Hollow
</t>
        </r>
      </text>
    </comment>
    <comment ref="B187" authorId="0" shapeId="0" xr:uid="{042D50F6-A443-4A99-9CCC-77519E91F376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The interest from the ICS acct offisets this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Leclerc</author>
  </authors>
  <commentList>
    <comment ref="B7" authorId="0" shapeId="0" xr:uid="{B304F392-DC43-4649-97F7-EE85FF982C7C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State gave Towns 1st and 2nd qrtr 0f 2025 in July of 2024</t>
        </r>
      </text>
    </comment>
    <comment ref="B10" authorId="0" shapeId="0" xr:uid="{1C5C3C1A-7C47-47A5-89D9-22EF638BC06D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2024 Flood reimbursement</t>
        </r>
      </text>
    </comment>
    <comment ref="B11" authorId="0" shapeId="0" xr:uid="{A2D95043-AC78-433F-B381-FB2FCC51804E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no grant
</t>
        </r>
      </text>
    </comment>
    <comment ref="D14" authorId="0" shapeId="0" xr:uid="{876A9156-7E82-4042-A7C5-675F21BB80ED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6000 Eff VT
30000 Forest Farks</t>
        </r>
      </text>
    </comment>
    <comment ref="B15" authorId="0" shapeId="0" xr:uid="{5AEF6C47-FABA-4855-971F-FD498B153F7C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now for 2025
</t>
        </r>
      </text>
    </comment>
    <comment ref="D19" authorId="0" shapeId="0" xr:uid="{C7FC7675-D967-4023-8F8A-FD1ACAB36DD9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Keiser Pond Rd</t>
        </r>
      </text>
    </comment>
    <comment ref="D20" authorId="0" shapeId="0" xr:uid="{963682F4-D5A2-486D-9DF4-9B1B107C0EA3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Carey Pond Rd culvert
</t>
        </r>
      </text>
    </comment>
    <comment ref="D21" authorId="0" shapeId="0" xr:uid="{C08437F1-9DF2-43E8-81BF-6B6D3BC9AA11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2025 expensed, reimb. In 2026</t>
        </r>
      </text>
    </comment>
    <comment ref="B22" authorId="0" shapeId="0" xr:uid="{BF4F7120-F24B-42AD-AB3D-19BB323777A1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balance as of 11/30/24 204,190.91</t>
        </r>
      </text>
    </comment>
    <comment ref="D52" authorId="0" shapeId="0" xr:uid="{CEB5CC65-03D3-4CF8-B12F-AE307EBB13D7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700 ANNUAL WW
</t>
        </r>
      </text>
    </comment>
    <comment ref="B55" authorId="0" shapeId="0" xr:uid="{1D478EBD-7B09-4738-8ABD-EE5F963D9B22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Repairs to blue garage</t>
        </r>
      </text>
    </comment>
    <comment ref="C55" authorId="0" shapeId="0" xr:uid="{BD011069-CE44-4305-A657-8F8F2299FE8F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Couldn't get a contractor</t>
        </r>
      </text>
    </comment>
    <comment ref="D55" authorId="0" shapeId="0" xr:uid="{B6E33DB9-AA63-4097-9A75-6D5D9573F31F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blue garage propane heat, overhead doors and other improvments
</t>
        </r>
      </text>
    </comment>
    <comment ref="B68" authorId="0" shapeId="0" xr:uid="{AC73253E-4B42-4ED7-A223-749E0B9D1911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$52 a foot </t>
        </r>
      </text>
    </comment>
    <comment ref="D68" authorId="0" shapeId="0" xr:uid="{351237AC-1C2F-430F-B3AA-F6980D3B5004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section on Brainerd street by the ambulance and part of Hill Street</t>
        </r>
      </text>
    </comment>
    <comment ref="D80" authorId="0" shapeId="0" xr:uid="{3AB738A4-601B-44B1-9A07-4389A50620E6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Upper Dr right away and other
</t>
        </r>
      </text>
    </comment>
    <comment ref="D83" authorId="0" shapeId="0" xr:uid="{1534E888-078D-4C7F-B9C7-686DCE5FF507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recommended design work for Bruce Badger slide looking for an approach
</t>
        </r>
      </text>
    </comment>
    <comment ref="C84" authorId="0" shapeId="0" xr:uid="{50F7B73F-3664-4D43-BC07-5294CE3956A4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Roy Rd and Joe's Brook Rd</t>
        </r>
      </text>
    </comment>
    <comment ref="B86" authorId="0" shapeId="0" xr:uid="{30BA270B-B26F-4052-9433-D2AE4F2F1E44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Carey Pond Culvert</t>
        </r>
      </text>
    </comment>
    <comment ref="D87" authorId="0" shapeId="0" xr:uid="{5F56073A-0C70-45AB-ACB5-725DA6E8F7C3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project complete 2025 but not the paperwork</t>
        </r>
      </text>
    </comment>
    <comment ref="B88" authorId="0" shapeId="0" xr:uid="{E37B059C-F81E-4925-B4AA-44D2DCCD3BC8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Reimbursed in 2026 engineering
</t>
        </r>
      </text>
    </comment>
    <comment ref="D107" authorId="0" shapeId="0" xr:uid="{51312F6D-F1C2-47CC-9B3F-C613EFED50EE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2-loader tires
</t>
        </r>
      </text>
    </comment>
    <comment ref="D108" authorId="0" shapeId="0" xr:uid="{8ED6BD95-C74A-47FE-81C2-5D31A35F053B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2026 moved to employee benefits </t>
        </r>
      </text>
    </comment>
    <comment ref="B111" authorId="0" shapeId="0" xr:uid="{2901DD06-D143-4BCC-920E-0F3250EA1361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truck $75,000
truck $267,000
pickup $45,000
</t>
        </r>
      </text>
    </comment>
    <comment ref="C111" authorId="0" shapeId="0" xr:uid="{3D08C2BA-9422-42F9-B22C-CA9287A98A35}">
      <text>
        <r>
          <rPr>
            <b/>
            <sz val="10"/>
            <color indexed="81"/>
            <rFont val="Tahoma"/>
            <family val="2"/>
          </rPr>
          <t>Michelle Leclerc:</t>
        </r>
        <r>
          <rPr>
            <sz val="10"/>
            <color indexed="81"/>
            <rFont val="Tahoma"/>
            <family val="2"/>
          </rPr>
          <t xml:space="preserve">
Antcipated purchase of road side mower
</t>
        </r>
      </text>
    </comment>
    <comment ref="D111" authorId="0" shapeId="0" xr:uid="{5E8EF2A0-28AF-46D3-9347-B0867E25BFA3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plow truck $280k, excavator $160k, 
changed to 100k for last years truck body</t>
        </r>
      </text>
    </comment>
    <comment ref="B116" authorId="0" shapeId="0" xr:uid="{2C6C7B6C-4BE4-434F-BC58-F1B57BFC80FD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backhoe
5 yr finance</t>
        </r>
      </text>
    </comment>
    <comment ref="D116" authorId="0" shapeId="0" xr:uid="{408B909A-6061-41E9-BEB6-E68A826D6E0C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backhoe $12960.45 &amp; deficit loan $48547.02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Leclerc</author>
  </authors>
  <commentList>
    <comment ref="D23" authorId="0" shapeId="0" xr:uid="{E448E1E1-E132-46D2-9512-BB46ECB28E99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500 inspection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Leclerc</author>
  </authors>
  <commentList>
    <comment ref="C5" authorId="0" shapeId="0" xr:uid="{F402E474-CF2F-402F-B60A-5F3D1DB48DF8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went up one grade </t>
        </r>
      </text>
    </comment>
    <comment ref="E5" authorId="0" shapeId="0" xr:uid="{68C7E83A-F938-4CB6-B49F-D6B79481A0D3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bigger percentage on OT because they are salt guys
</t>
        </r>
      </text>
    </comment>
    <comment ref="C6" authorId="0" shapeId="0" xr:uid="{59528A6C-23F3-43B5-9F16-8D63CE96D5D2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up one grade and 3%
23.91
</t>
        </r>
      </text>
    </comment>
    <comment ref="C7" authorId="0" shapeId="0" xr:uid="{AF4AF26F-661C-4A23-9AA6-9D3BBFDCEE2A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new grade and 3%
23.91
</t>
        </r>
      </text>
    </comment>
    <comment ref="E7" authorId="0" shapeId="0" xr:uid="{154EAACB-6BCF-43AF-94EF-9380EB247BC7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bigger percentage on OT because they are salt guys
</t>
        </r>
      </text>
    </comment>
    <comment ref="C8" authorId="0" shapeId="0" xr:uid="{3AA6182B-69CC-48B4-A491-CC9FCE7B86EE}">
      <text>
        <r>
          <rPr>
            <b/>
            <sz val="9"/>
            <color indexed="81"/>
            <rFont val="Tahoma"/>
            <family val="2"/>
          </rPr>
          <t>Michelle Leclerc:</t>
        </r>
        <r>
          <rPr>
            <sz val="9"/>
            <color indexed="81"/>
            <rFont val="Tahoma"/>
            <family val="2"/>
          </rPr>
          <t xml:space="preserve">
new pay grade #5, $24.51 and 3% </t>
        </r>
      </text>
    </comment>
  </commentList>
</comments>
</file>

<file path=xl/sharedStrings.xml><?xml version="1.0" encoding="utf-8"?>
<sst xmlns="http://schemas.openxmlformats.org/spreadsheetml/2006/main" count="484" uniqueCount="410">
  <si>
    <t xml:space="preserve">                                   Treasurer's Report -  General Fund as of 12/31/2025</t>
  </si>
  <si>
    <t>2026 Budget</t>
  </si>
  <si>
    <t>Account</t>
  </si>
  <si>
    <t>2025 Budget</t>
  </si>
  <si>
    <t>2025 Actual</t>
  </si>
  <si>
    <t>Proposed</t>
  </si>
  <si>
    <t>101-6 TOTAL REVENUE</t>
  </si>
  <si>
    <t>101-6-01 TAXES &amp; DELINQUENT INTEREST</t>
  </si>
  <si>
    <t>101-6-01-001.00 Property taxes</t>
  </si>
  <si>
    <t>Carryover or Town Meeting Article remaining balance from 2025</t>
  </si>
  <si>
    <t>101-6-01-001.01 Property Tax-State Adjustment</t>
  </si>
  <si>
    <t>101-6-01-002.00 Taxes - Delinquent</t>
  </si>
  <si>
    <t>101-6-01-003.00 Taxes, Delinquent Interest</t>
  </si>
  <si>
    <t>101-6-01-004.00 Delinquent Taxes Penalty</t>
  </si>
  <si>
    <t>101-6-01-005.00 Tax Sale Legal Fees</t>
  </si>
  <si>
    <t>Subtotal Taxes and Delinquent Interest</t>
  </si>
  <si>
    <t>101-6-02-001.00 State of Vermont</t>
  </si>
  <si>
    <t>101-6-02-001.01 Income from Fines</t>
  </si>
  <si>
    <t>101-6-02-001.02 Current Use</t>
  </si>
  <si>
    <t>101-6-02-001.03 Pilot</t>
  </si>
  <si>
    <t>101-6-03-001.01 Town Clerk/Fees</t>
  </si>
  <si>
    <t>101-6-03-001.03 Liquor &amp; Tobacco License</t>
  </si>
  <si>
    <t>101-6-03-001.04 Town Clerk Copies</t>
  </si>
  <si>
    <t>101-6-03-001.05 Marriage Licenses</t>
  </si>
  <si>
    <t>101-6-03-001.07 Land Posting Fee</t>
  </si>
  <si>
    <t>101-6-03-001.08 Certified Vital Copies</t>
  </si>
  <si>
    <t>101-6-03-001.09 Vault Fees</t>
  </si>
  <si>
    <t>101-6-03-001.10 Green Mt. Passes</t>
  </si>
  <si>
    <t>101-6-03-001.11 Animal Control License Fee</t>
  </si>
  <si>
    <t>101-6-03-001.12 Animal Control Fines Collected</t>
  </si>
  <si>
    <t>101-6-03-001.13 Dog Park Donations</t>
  </si>
  <si>
    <t>101-6-03-003.00 Town Hall Rental</t>
  </si>
  <si>
    <t>101-6-03-004.00 Zoning Fees</t>
  </si>
  <si>
    <t>101-6-03-006.00 Zoning Violation Fines</t>
  </si>
  <si>
    <t>101-6-05-001.00 Interest</t>
  </si>
  <si>
    <t>101-6-06-001.00 Grant Income</t>
  </si>
  <si>
    <t>101-6-06-001.01 Grant-Aquatic Monitors</t>
  </si>
  <si>
    <t>101-6-06-001.07 Zoning Grant Revenue</t>
  </si>
  <si>
    <t>101-6-08-001.02 FD#1 Computer Fee Reimb.</t>
  </si>
  <si>
    <t>101-6-08-001.05 Transfer from Building Fund</t>
  </si>
  <si>
    <t>101-6-09-002.00 Other Payroll Reimbursements</t>
  </si>
  <si>
    <t>101-6-09-002.02 Burial Fee</t>
  </si>
  <si>
    <t>101-6-09-098.00 Reimbursements</t>
  </si>
  <si>
    <t>101-6-09-099.00 Miscellaneous</t>
  </si>
  <si>
    <t>101-6-09-099.01 Recycling / Greenup</t>
  </si>
  <si>
    <t>101-6-09-099.05 Insurance / Other Refunds</t>
  </si>
  <si>
    <t>101-6-09-099.06 Bulky Waste</t>
  </si>
  <si>
    <t>101-6-09-009.07 Tire Revenue</t>
  </si>
  <si>
    <t>101-6-09-009.09 Joe's Pond Milfoil donations</t>
  </si>
  <si>
    <t>101-6-09-099.10 Joe's Pond Fireworks</t>
  </si>
  <si>
    <t>101-6-70-720.10 RLF-WW Evaulation Project</t>
  </si>
  <si>
    <t>moved to sewer</t>
  </si>
  <si>
    <t>REVENUES NOT FROM TAXES</t>
  </si>
  <si>
    <t>TOTAL REVENUE</t>
  </si>
  <si>
    <t>EXPENDITURES</t>
  </si>
  <si>
    <t>101-7 ADMINISTRATION</t>
  </si>
  <si>
    <t>101-7-10 PAYROLL &amp; BENEFITS</t>
  </si>
  <si>
    <t>101-7-10-110.02 Salaries/Selectboard (5)</t>
  </si>
  <si>
    <t>101-7-10-110.03 Salaries/Town Clerk/Treasurer</t>
  </si>
  <si>
    <t>101-7-10-110.04 Town Administrator</t>
  </si>
  <si>
    <t>101-7-10-110.05 Animal Control Payroll</t>
  </si>
  <si>
    <t>101-7-10-110.06 Lister</t>
  </si>
  <si>
    <t>101-7-10-110.07 Assistant Town Clerk/Treasurer</t>
  </si>
  <si>
    <t>101-7-10-110.08 Assistant Town Clerk</t>
  </si>
  <si>
    <t>101-7-10-110.09 Town Elections/Poll Workers</t>
  </si>
  <si>
    <t>3.2 COLA</t>
  </si>
  <si>
    <t>101-7-10-110.11 Board of Civil Authority</t>
  </si>
  <si>
    <t>101-7-10-110.13 Development Review Board</t>
  </si>
  <si>
    <t>101-7-10-110.15 Zoning Administator</t>
  </si>
  <si>
    <t>101-7-10-110.16 Planning Commission</t>
  </si>
  <si>
    <t>101-7-10-110.17 Aquatic Monitors</t>
  </si>
  <si>
    <t>101-7-10-110.18 Tax Collectors Fees</t>
  </si>
  <si>
    <t>101-7-10-110.19 Recycling Center Payroll</t>
  </si>
  <si>
    <t>101-7-10-110.20 Fire Department Stipend</t>
  </si>
  <si>
    <t>101-7-10-210.00 Health Insurance/Town</t>
  </si>
  <si>
    <t>101-7-10-210.01 HRA Reimbursements</t>
  </si>
  <si>
    <t>101-7-10-220.00 Taxes/FICA &amp; Medicare</t>
  </si>
  <si>
    <t>101-7-10-220.01 Child Care Contribution</t>
  </si>
  <si>
    <t>101-7-10-230.00 VT Employee Pension</t>
  </si>
  <si>
    <t>101-7-10-260.00 Workmen's Comp Insurance</t>
  </si>
  <si>
    <t>101-7-10-290.00 VT Unemployment</t>
  </si>
  <si>
    <t>TOTAL PAYROLL AND BENEFITS EXPENSE</t>
  </si>
  <si>
    <t>101-7-20 OFFICE OPERATIONS</t>
  </si>
  <si>
    <t>101-7-20-320.01 Training / Education</t>
  </si>
  <si>
    <t>101-7-20-340.01 Marriage License Fee</t>
  </si>
  <si>
    <t>101-7-20-431.00 Copier</t>
  </si>
  <si>
    <t>New copier $4020. Last purchase 2018</t>
  </si>
  <si>
    <t>101-7-20-500.00 Animal Control Mileage</t>
  </si>
  <si>
    <t>101-7-20-500.01 Animal Control Supplies</t>
  </si>
  <si>
    <t>101-7-20-530.00 Telephone / Internet</t>
  </si>
  <si>
    <t>101-7-20-531.01 Postage</t>
  </si>
  <si>
    <t>101-7-20-540.00 Advertising</t>
  </si>
  <si>
    <t>101-7-20-540.01 Planning Comm/Notices</t>
  </si>
  <si>
    <t>101-7-20-540.02 Zoning/DRB/Legal Notices</t>
  </si>
  <si>
    <t>101-7-20-550.01 Town Report-Printing</t>
  </si>
  <si>
    <t>101-7-20-580.01 Meetings &amp; Mileage</t>
  </si>
  <si>
    <t>101-7-20-610.02 Town Clerk / Office Expense</t>
  </si>
  <si>
    <t>101-7-20-610.03 Computer Expense</t>
  </si>
  <si>
    <t>Rural Solutions &amp; NEMRC</t>
  </si>
  <si>
    <t>101-7-20-610.04 Listers/Office Expense</t>
  </si>
  <si>
    <t>101-7-20-610.05 Website</t>
  </si>
  <si>
    <t>101-7-20-610.06 Conservation Commission</t>
  </si>
  <si>
    <t>101-7-20-610.07 Selectboard Office</t>
  </si>
  <si>
    <t>TOTAL OFFICE OPERATIONS EXPENSE</t>
  </si>
  <si>
    <t>101-7-30 TOWN BUILDINGS</t>
  </si>
  <si>
    <t>101-7-30-411.00 Water / Sewer Town Hall</t>
  </si>
  <si>
    <t>101-7-30-423.01 Janitorial</t>
  </si>
  <si>
    <t>101-7-30-430.00 Building Maintenance &amp; Repairs</t>
  </si>
  <si>
    <t>101-7-30-430.01 Ambulance Service Building</t>
  </si>
  <si>
    <t>101-7-30-520.00 Insurance-Town Buildings</t>
  </si>
  <si>
    <t>101-7-30-610.00 Equipment &amp; Supplies</t>
  </si>
  <si>
    <t>101-7-30-610.01 Safety Equipment</t>
  </si>
  <si>
    <t>101-7-30-622.00 Electricity</t>
  </si>
  <si>
    <t>101-7-30-624.00 Heating Oil</t>
  </si>
  <si>
    <t>101-7-30-720.00 Cap Bldg Fnd Contribution</t>
  </si>
  <si>
    <t>TOTAL TOWN BUILDINGS EXPENSE</t>
  </si>
  <si>
    <t>101-7-35 FIRE DEPARTMENT</t>
  </si>
  <si>
    <t>101-7-35-421.00 FD Water / Sewer</t>
  </si>
  <si>
    <t>101-7-35-520.00 FD Insurance</t>
  </si>
  <si>
    <t>101-7-35-530.00 FD Telephone</t>
  </si>
  <si>
    <t>101-7-35-622.00 FD Electricity</t>
  </si>
  <si>
    <t>101-7-35-624.00 FD Heat</t>
  </si>
  <si>
    <t>101-7-35-627.00 FD Diesel</t>
  </si>
  <si>
    <t>101-7-35-810.01 FD Capital Equip Fund Transfer</t>
  </si>
  <si>
    <t>101-7-35-990.00 FD Budgeted Allowance/Misc</t>
  </si>
  <si>
    <t>TOTAL FIRE DEPARTMENT EXPENSE</t>
  </si>
  <si>
    <t>101-7-36 North Danville School</t>
  </si>
  <si>
    <t>101-7-36-424.00 ND School Lawn Care</t>
  </si>
  <si>
    <t>101-7-36-430.00 ND School Building Maintenance</t>
  </si>
  <si>
    <t>101-7-36-622.00 ND School Electricity</t>
  </si>
  <si>
    <t>101-7-36-624.00 ND School Heat</t>
  </si>
  <si>
    <t>101-7-36-625.00 ND School Telephone</t>
  </si>
  <si>
    <t>101-7-36-626.00 ND Bldg Damage Exp-Ins Claim</t>
  </si>
  <si>
    <t>TOTAL NORTH DANVILLE SCHOOL EXPENSE</t>
  </si>
  <si>
    <t>101-7-38 West Danville Comm Club</t>
  </si>
  <si>
    <t>101-7-38-330.00 WD Comm Club Water Test</t>
  </si>
  <si>
    <t>101-7-38-330.01 Beach Improvements/Maintenance</t>
  </si>
  <si>
    <t>101-7-38-330-02 WD Portable Toilets</t>
  </si>
  <si>
    <t>extra cleaning</t>
  </si>
  <si>
    <t>101-7-38-520.00 WD Comm Club Insurance</t>
  </si>
  <si>
    <t>TOTAL WEST DANVILLE COMM CLUB EXPENSE</t>
  </si>
  <si>
    <t>101-7-39 Recycling</t>
  </si>
  <si>
    <t>101-7-39-330.00 Recycling Expense</t>
  </si>
  <si>
    <t xml:space="preserve">101-7-39-330.01 Greenup </t>
  </si>
  <si>
    <t>101-7-39-330.02 Bulky Waste</t>
  </si>
  <si>
    <t>101-7-39-330.03 Tires</t>
  </si>
  <si>
    <t>101-7-39-330.04 Recycling Removal Fee</t>
  </si>
  <si>
    <t>TOTAL RECYCLING</t>
  </si>
  <si>
    <t>101-7-40 Train Station</t>
  </si>
  <si>
    <t>101-7-40-411.00 TS Water/Sewer</t>
  </si>
  <si>
    <t>101-7-40-423.00 TS Janitorial</t>
  </si>
  <si>
    <t>101-7-40-423.01 TS Lawn Care</t>
  </si>
  <si>
    <t>101-7-40-430.00 TS Gen Building Maintenance</t>
  </si>
  <si>
    <t>101-7-40-520.00 TS Insurance</t>
  </si>
  <si>
    <t>101-7-40-530.00 TS Phone/Internet</t>
  </si>
  <si>
    <t>101-7-40-622.00 TS Electricity</t>
  </si>
  <si>
    <t>101-7-40-990.00 TS Miscellanous</t>
  </si>
  <si>
    <t>Total Train Station</t>
  </si>
  <si>
    <t>101-7-70 GENERAL EXPENSES</t>
  </si>
  <si>
    <t xml:space="preserve">101-7-70-330.00 Outside Audit </t>
  </si>
  <si>
    <t xml:space="preserve">101-7-70-330.04 Law Enforcement </t>
  </si>
  <si>
    <t>101-7-70-330.06 Ambulance Services</t>
  </si>
  <si>
    <t>101-7-70-333.00 Legal Fees</t>
  </si>
  <si>
    <t>101-7-70-333.01 Tax Sale Legal Fees</t>
  </si>
  <si>
    <t>101-7-70-424.01 Cemetery Care</t>
  </si>
  <si>
    <t>101-7-70-441.00 Leases</t>
  </si>
  <si>
    <t>101-7-70-490.00 County Taxes</t>
  </si>
  <si>
    <t>101-7-70-520.00 Insurance - General</t>
  </si>
  <si>
    <t>101-7-70-550.00 Town Elections/Ballots</t>
  </si>
  <si>
    <t>101-7-70-560.01 Membership/Dues/VLCT/Other</t>
  </si>
  <si>
    <t xml:space="preserve">4401 for VLCT; 2218 for NVDA; and 70- for TC and Treas Association (2); </t>
  </si>
  <si>
    <t>101-7-70-622.00 Street Lights</t>
  </si>
  <si>
    <t>101-7-70-720.04 Joe's Pond Aquatic Invasive Mitagion</t>
  </si>
  <si>
    <t>101-7-70-720.08 LVRT Comm Grant</t>
  </si>
  <si>
    <t xml:space="preserve">101-7-70-720.11 Dog Park </t>
  </si>
  <si>
    <t>101-7-70-720.12 Joe's Pond Fireworks</t>
  </si>
  <si>
    <t>101-7-70-730.00 Tennis Court Maintenance</t>
  </si>
  <si>
    <t>101-7-70-730.01 Danville Green-Improvements</t>
  </si>
  <si>
    <t>101-7-70-730.02 Hill St Park Maintenance</t>
  </si>
  <si>
    <t>101-7-70-730.03 Mowing Misc Town Property</t>
  </si>
  <si>
    <t>101-7-70-830.00 Loan Interest</t>
  </si>
  <si>
    <t>101-7-70-990.00 Miscellaneous/Fees/Late Charges</t>
  </si>
  <si>
    <t>101-7-70-990.11 Town Meeting Articles</t>
  </si>
  <si>
    <t>101-8-95-950.00 Appropriations</t>
  </si>
  <si>
    <t>TOTAL GENERAL EXPENSE</t>
  </si>
  <si>
    <t>TOTAL EXPENSE</t>
  </si>
  <si>
    <t>2025 Income</t>
  </si>
  <si>
    <t>2025 Expenditures</t>
  </si>
  <si>
    <t>Total</t>
  </si>
  <si>
    <t>2025 Audited Deficit/Surplus</t>
  </si>
  <si>
    <t>Carryover</t>
  </si>
  <si>
    <t>101-8-95 APPROPRIATIONS</t>
  </si>
  <si>
    <t>We leave these off our budget</t>
  </si>
  <si>
    <t>Northeast Kingdom Council on Aging</t>
  </si>
  <si>
    <t>*</t>
  </si>
  <si>
    <t>Caledonia Home Health</t>
  </si>
  <si>
    <t>Catamount Arts</t>
  </si>
  <si>
    <t>Fairbanks Museum &amp; Planet</t>
  </si>
  <si>
    <t>NE Kingdom Human Services</t>
  </si>
  <si>
    <t>NE Kingdom Youth Services</t>
  </si>
  <si>
    <t>NE Kingdom Animal Shelter</t>
  </si>
  <si>
    <t>Pope Memorial Library</t>
  </si>
  <si>
    <t>Rural Comm Transportation</t>
  </si>
  <si>
    <t>The St. Johnsbury Nutritional Center, Inc.</t>
  </si>
  <si>
    <t>Umbrella</t>
  </si>
  <si>
    <t>West Danville Community Club</t>
  </si>
  <si>
    <t>Comm Restorative Justice</t>
  </si>
  <si>
    <t>* received request</t>
  </si>
  <si>
    <t>Total Expense Including Appropriations</t>
  </si>
  <si>
    <r>
      <t xml:space="preserve">                            </t>
    </r>
    <r>
      <rPr>
        <b/>
        <sz val="16"/>
        <color theme="1"/>
        <rFont val="Calibri"/>
        <family val="2"/>
        <scheme val="minor"/>
      </rPr>
      <t xml:space="preserve">     Treasurer's Report - Highway Fund as of 12/31/25</t>
    </r>
  </si>
  <si>
    <t xml:space="preserve">2025 Actual </t>
  </si>
  <si>
    <t>2026 Budget Proposed</t>
  </si>
  <si>
    <t>102-6 HIGHWAY REVENUE</t>
  </si>
  <si>
    <t>Notes</t>
  </si>
  <si>
    <t>102-6-01-001.00 Property Taxes</t>
  </si>
  <si>
    <t>102-6-02-001.02 Class 2 State Aid</t>
  </si>
  <si>
    <t>102-6-02-001.03 Class 3 State Aid</t>
  </si>
  <si>
    <t>102-6-02-001.04 Current Use</t>
  </si>
  <si>
    <t>102-6-02-001.05 Flood - FEMA</t>
  </si>
  <si>
    <t>Safety Emgerency Relief Assistance from 2023 FEMA</t>
  </si>
  <si>
    <t>102-6-02-001.06 State of VT-Paving Grant</t>
  </si>
  <si>
    <t>102-6-02-001.07 Hwy Federal Reimbursement</t>
  </si>
  <si>
    <t>102-6-02-001.08 State Structures Grant</t>
  </si>
  <si>
    <t>102-6-02-001.12 Other Local Grants</t>
  </si>
  <si>
    <t>102-6-02-001.14 Hwy FEMA Mitigation</t>
  </si>
  <si>
    <t>102-6-03-001.01 Permit Income</t>
  </si>
  <si>
    <t>Overweight Permits &amp; Curb Cuts</t>
  </si>
  <si>
    <t>102-6-04-001.01 Roadside Mower Reimb-Ryegate</t>
  </si>
  <si>
    <t>102-6-04-001.02 DHS Fuel Reimbursement</t>
  </si>
  <si>
    <t>102-6-06-001.00 Better Back Roads Grant</t>
  </si>
  <si>
    <t>102-6-06-001.01 Better Roads Structures</t>
  </si>
  <si>
    <t>102-6-06-001.02 VT Grant in Aid Program</t>
  </si>
  <si>
    <t>102-6-08-001.01 Capital Equipment Transfer</t>
  </si>
  <si>
    <t>102-6-08-001.03 Capital Building Transfer</t>
  </si>
  <si>
    <t>102-6-09-098.00 Insurance Reimb/Payout</t>
  </si>
  <si>
    <t>102-6-09-099.00 Misc. Income</t>
  </si>
  <si>
    <t>102-6-09-009.02 Reimbursements</t>
  </si>
  <si>
    <t>102-7 HIGHWAY SUMMARY</t>
  </si>
  <si>
    <t>102-7-10 PAYROLL &amp; BENEFITS</t>
  </si>
  <si>
    <t>102-7-10-110.00 Labor</t>
  </si>
  <si>
    <t>102-7-10-130.00 Overtime</t>
  </si>
  <si>
    <t>102-7-10-210.00 Health Insurance</t>
  </si>
  <si>
    <t>MVP (6 Employees)</t>
  </si>
  <si>
    <t>102-7-10-210.01 HRA Reimbursements</t>
  </si>
  <si>
    <t>102-7-10-220.00 Taxes / FICA</t>
  </si>
  <si>
    <t>102-7-10-220.01 Childcare Contribution</t>
  </si>
  <si>
    <t>102-7-10-230.00 VT Municipal Retirement Pension</t>
  </si>
  <si>
    <t>102-7-10-260.00 Workmen's Comp Insurance</t>
  </si>
  <si>
    <t>VLCT</t>
  </si>
  <si>
    <t>102-7-10-290.01 VT Unemployment</t>
  </si>
  <si>
    <t>102-7-10-290.03 Employee Benefits/PPE</t>
  </si>
  <si>
    <t>Boots-Uniforms-CDLs-Road Foreman Phone Reimb.</t>
  </si>
  <si>
    <t>102-7-10-290.04 Mileage Reimbursement</t>
  </si>
  <si>
    <t>102-7-10-580.00 Training / Workshops</t>
  </si>
  <si>
    <t>TOTAL PAYROLL &amp; BENEFITS</t>
  </si>
  <si>
    <t>102-7-20 Hwy Office Operations</t>
  </si>
  <si>
    <t>102-7-20-530.00 Telephone / Internet</t>
  </si>
  <si>
    <t>102-7-20-540.00 Advertising</t>
  </si>
  <si>
    <t>102-7-20-610.00 Office Supplies</t>
  </si>
  <si>
    <t>TOTAL HWY OFFICE OPERATIONS</t>
  </si>
  <si>
    <t>102-7-30 TOWN GARAGE</t>
  </si>
  <si>
    <t>102-7-30-411.00 Water / Sewer Service</t>
  </si>
  <si>
    <t>102-7-30-421.01 Rubbish</t>
  </si>
  <si>
    <t>102-7-30-421.02 Hazard Waste Removal</t>
  </si>
  <si>
    <t>102-7-30-430.00 Building Repairs -Maint.</t>
  </si>
  <si>
    <t>102-7-30-430.01 Communications Expense</t>
  </si>
  <si>
    <t>102-7-30-520.00 Insurance-Hwy Bldgs.</t>
  </si>
  <si>
    <t>102-7-30-610.01 Supplies</t>
  </si>
  <si>
    <t>102-7-30-610.02 Tools / Small Equipment</t>
  </si>
  <si>
    <t>102-7-30-610.03 Safety Equipment</t>
  </si>
  <si>
    <t>102-7-30-622.00 Electricity</t>
  </si>
  <si>
    <t>102-7-30-623.00 Gases / Welding</t>
  </si>
  <si>
    <t>102-7-30-624.00 Heating Expenses</t>
  </si>
  <si>
    <t>TOTAL TOWN GARAGE</t>
  </si>
  <si>
    <t>102-7-42 CLASS 2 ROADS</t>
  </si>
  <si>
    <t>102-7-42-442.00 Rented Equipment</t>
  </si>
  <si>
    <t>102-7-42-450.01 Paving / Patch</t>
  </si>
  <si>
    <t>102-7-42-450.02 Guard Rails</t>
  </si>
  <si>
    <t>102-7-42-450.03 Tree &amp; Brush</t>
  </si>
  <si>
    <t>102-7-42-460.02 Outside Contractors</t>
  </si>
  <si>
    <t>102-7-42-460.03 Paving Grant - State</t>
  </si>
  <si>
    <t>102-7-42-460.05 Federal Highway Project</t>
  </si>
  <si>
    <t>102-7-42-610.01 Signs</t>
  </si>
  <si>
    <t>102-7-42-610.02 Erosion Control</t>
  </si>
  <si>
    <t>102-7-42-650.02 Salt</t>
  </si>
  <si>
    <t>TOTAL CLASS 2 ROADS</t>
  </si>
  <si>
    <t>102-7-43 CLASS 3 ROADS</t>
  </si>
  <si>
    <t>102-7-43-450.01 Tree Removal</t>
  </si>
  <si>
    <t>102-7-43-450.02 Guard Rails</t>
  </si>
  <si>
    <t>102-7-43-460.01 Bridges &amp; Culverts</t>
  </si>
  <si>
    <t>102-7-43-460.02 Outside Contractors</t>
  </si>
  <si>
    <t>102-7-43-460.03 FEMA Projects</t>
  </si>
  <si>
    <t>102-7-43-460-06 Better Back Roads</t>
  </si>
  <si>
    <t>102-7-43-460-09 Better Road Structures</t>
  </si>
  <si>
    <t>102-7-43-460.10 VT Grant in Aid Program</t>
  </si>
  <si>
    <t>102-7-43-460.12 McDowell Project</t>
  </si>
  <si>
    <t>102-7-43-610.01 Signs</t>
  </si>
  <si>
    <t>102-7-43-610.02 Erosion Control</t>
  </si>
  <si>
    <t>102-7-43-650.01 Gravel / Stone</t>
  </si>
  <si>
    <t>102-7-43-650.03 Sand</t>
  </si>
  <si>
    <t>102-7-43-650.04 Chloride</t>
  </si>
  <si>
    <t>102-7-43-990.00 MRGP Fees</t>
  </si>
  <si>
    <t>TOTAL CLASS 3 ROADS</t>
  </si>
  <si>
    <t>102-7-44 CLASS 4 ROADS</t>
  </si>
  <si>
    <t>102-7-44-460.01 Bridges &amp; Culverts</t>
  </si>
  <si>
    <t>102-7-44-650.01 Gravel / Stone</t>
  </si>
  <si>
    <t>TOTAL CLASS 4 ROADS</t>
  </si>
  <si>
    <t>102-7-60 TRUCKS &amp; EQUIPMENT</t>
  </si>
  <si>
    <t>102-7-60-431.00 Outside Equipment Repairs</t>
  </si>
  <si>
    <t>102-7-60-431.01 Corrosion Prevention</t>
  </si>
  <si>
    <t>102-7-60-432.02 Outside Vehicle Repairs</t>
  </si>
  <si>
    <t>102-7-60-520.00 Insurance - Auto</t>
  </si>
  <si>
    <t>102-7-60-610.00 Parts &amp; Supplies</t>
  </si>
  <si>
    <t>102-7-60-610.01 Safety Equipment</t>
  </si>
  <si>
    <t>102-7-60-627.00 Oil / Lubricants</t>
  </si>
  <si>
    <t>102-7-60-627.01 Diesel / Gas</t>
  </si>
  <si>
    <t>102-7-60-740.00 Equipment Purchase / Lease</t>
  </si>
  <si>
    <t>TOTAL TRUCKS &amp; EQUIPMENT</t>
  </si>
  <si>
    <t>102-7-70 MISC</t>
  </si>
  <si>
    <t>102-7-70-522.00 Insurance-Hwy Liability</t>
  </si>
  <si>
    <t>102-7-70-730.00 Loan Principal/ Interest</t>
  </si>
  <si>
    <t>102-7-70-990.01 Misc /Fees/Late charge</t>
  </si>
  <si>
    <t>TOTAL MISC</t>
  </si>
  <si>
    <t>102-7-90 RESERVE FUNDING</t>
  </si>
  <si>
    <t>102-7-90-810.01 Transfer to Capital Equipment Fund</t>
  </si>
  <si>
    <t>102-7-90-810.06 Transfer to Capital Building Fund</t>
  </si>
  <si>
    <t>TOTAL RESERVE FUNDING</t>
  </si>
  <si>
    <t>TOTAL EXPENDITURES</t>
  </si>
  <si>
    <t xml:space="preserve">                                  Treasurer's Report - Sewer as of 12/31/2025</t>
  </si>
  <si>
    <t>Revenue</t>
  </si>
  <si>
    <t>Hookup Fees</t>
  </si>
  <si>
    <t>Sewer Application Fee</t>
  </si>
  <si>
    <t>Sewer Rents</t>
  </si>
  <si>
    <t>Delinquent Rents</t>
  </si>
  <si>
    <t>Delinquent Rent Interest</t>
  </si>
  <si>
    <t>Bank Interest</t>
  </si>
  <si>
    <t>H2o Innovations Capital Refund</t>
  </si>
  <si>
    <t>RLF-WW Evaluation Project</t>
  </si>
  <si>
    <t>Total Revenue</t>
  </si>
  <si>
    <t>Expenses</t>
  </si>
  <si>
    <t>Engineering / Outside Service</t>
  </si>
  <si>
    <t>Legal Fees</t>
  </si>
  <si>
    <t>Plant Operations</t>
  </si>
  <si>
    <t>Rubbish Removal</t>
  </si>
  <si>
    <t>Plant Maintenance</t>
  </si>
  <si>
    <t>Wier Maintenance</t>
  </si>
  <si>
    <t>Electricity</t>
  </si>
  <si>
    <t>Annual Fees</t>
  </si>
  <si>
    <t>Miscellaneous</t>
  </si>
  <si>
    <t>Long Term Maintenance Transfer</t>
  </si>
  <si>
    <t>Sludge Removal Fund Transfer</t>
  </si>
  <si>
    <t>Total Expenses</t>
  </si>
  <si>
    <t>Net Income / Expenses</t>
  </si>
  <si>
    <t xml:space="preserve">Delinquent Sewer Rents      </t>
  </si>
  <si>
    <t>2024 Balance Forward</t>
  </si>
  <si>
    <t xml:space="preserve">Total amounts paid to Delinquent Tax Collector/Town: </t>
  </si>
  <si>
    <t>Delinquent Interest</t>
  </si>
  <si>
    <t>Total Paid</t>
  </si>
  <si>
    <t>Balance due as of 12/31/25</t>
  </si>
  <si>
    <t>Edward J. Ledo, Delinquent Tax Collector</t>
  </si>
  <si>
    <t xml:space="preserve">General Fund </t>
  </si>
  <si>
    <t>Highway</t>
  </si>
  <si>
    <t>Total Budget amount</t>
  </si>
  <si>
    <t>Appropriations</t>
  </si>
  <si>
    <t>2025 Grand List</t>
  </si>
  <si>
    <t>Municipal Rate w/appropriations</t>
  </si>
  <si>
    <t>Highway Rate</t>
  </si>
  <si>
    <t>Total Rate</t>
  </si>
  <si>
    <t>2025 Tax Rate</t>
  </si>
  <si>
    <t>Municipal Rate</t>
  </si>
  <si>
    <t>2026 Payroll &amp; Benefits</t>
  </si>
  <si>
    <t>3% increase</t>
  </si>
  <si>
    <t>2025 hourly wage</t>
  </si>
  <si>
    <t>2026 hourly wage</t>
  </si>
  <si>
    <t>40 hour work week</t>
  </si>
  <si>
    <t>7% Over-time</t>
  </si>
  <si>
    <t>Annual Salary</t>
  </si>
  <si>
    <t>FICA 7.65%</t>
  </si>
  <si>
    <t>Medicare 1.45%</t>
  </si>
  <si>
    <t>Childcare 0.44%</t>
  </si>
  <si>
    <t>Retirement 17.23%</t>
  </si>
  <si>
    <t>MVP Health Ins</t>
  </si>
  <si>
    <t>HRA</t>
  </si>
  <si>
    <t>William Bailey</t>
  </si>
  <si>
    <t>Casey Carson</t>
  </si>
  <si>
    <t>Peter Craig</t>
  </si>
  <si>
    <t>Richard Eaton</t>
  </si>
  <si>
    <t>Keith Gadapee</t>
  </si>
  <si>
    <t>Onsite Supervisor</t>
  </si>
  <si>
    <t>Per diem Road crew</t>
  </si>
  <si>
    <t>Dennis Tillotson</t>
  </si>
  <si>
    <t xml:space="preserve">TOTALS </t>
  </si>
  <si>
    <t>Town Clerk's office</t>
  </si>
  <si>
    <t>10 hrs Over-time</t>
  </si>
  <si>
    <t>Diane Bannister</t>
  </si>
  <si>
    <t>Sharon Daniell</t>
  </si>
  <si>
    <t>Michelle Leclerc</t>
  </si>
  <si>
    <t>TOTALS</t>
  </si>
  <si>
    <t>Part-Time Payroll</t>
  </si>
  <si>
    <t>same as last year hours</t>
  </si>
  <si>
    <t>Clayton Cargill</t>
  </si>
  <si>
    <t>Dennis Marquise</t>
  </si>
  <si>
    <t>Listers</t>
  </si>
  <si>
    <t>John Blackmore</t>
  </si>
  <si>
    <t>Tim Ide</t>
  </si>
  <si>
    <t>Marcia Pettigrew</t>
  </si>
  <si>
    <t>Fire Department</t>
  </si>
  <si>
    <t>Stipend</t>
  </si>
  <si>
    <t>Total Health Insurance &amp; HRA</t>
  </si>
  <si>
    <t>102-7-90-810.03 Transfer to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</si>
</sst>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??_);_(@_)"/>
    <numFmt numFmtId="165" formatCode="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4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9" fillId="0" borderId="10" xfId="0" applyFont="1" applyBorder="1"/>
    <xf numFmtId="44" fontId="19" fillId="33" borderId="10" xfId="42" applyFont="1" applyFill="1" applyBorder="1"/>
    <xf numFmtId="44" fontId="19" fillId="0" borderId="10" xfId="0" applyNumberFormat="1" applyFont="1" applyBorder="1"/>
    <xf numFmtId="44" fontId="0" fillId="0" borderId="0" xfId="0" applyNumberFormat="1"/>
    <xf numFmtId="0" fontId="19" fillId="0" borderId="0" xfId="0" applyFont="1"/>
    <xf numFmtId="43" fontId="19" fillId="0" borderId="0" xfId="43" applyFont="1"/>
    <xf numFmtId="0" fontId="19" fillId="0" borderId="12" xfId="0" applyFont="1" applyBorder="1"/>
    <xf numFmtId="0" fontId="19" fillId="0" borderId="12" xfId="0" applyFont="1" applyBorder="1" applyAlignment="1">
      <alignment horizontal="center" wrapText="1"/>
    </xf>
    <xf numFmtId="0" fontId="19" fillId="0" borderId="12" xfId="0" applyFont="1" applyBorder="1" applyAlignment="1">
      <alignment horizontal="center"/>
    </xf>
    <xf numFmtId="0" fontId="20" fillId="0" borderId="0" xfId="0" applyFont="1"/>
    <xf numFmtId="43" fontId="20" fillId="0" borderId="0" xfId="43" applyFont="1"/>
    <xf numFmtId="43" fontId="20" fillId="0" borderId="0" xfId="0" applyNumberFormat="1" applyFont="1"/>
    <xf numFmtId="0" fontId="20" fillId="0" borderId="0" xfId="0" applyFont="1" applyAlignment="1">
      <alignment horizontal="center" wrapText="1"/>
    </xf>
    <xf numFmtId="43" fontId="0" fillId="0" borderId="0" xfId="43" applyFont="1"/>
    <xf numFmtId="165" fontId="0" fillId="0" borderId="0" xfId="0" applyNumberFormat="1"/>
    <xf numFmtId="0" fontId="0" fillId="0" borderId="0" xfId="0" applyAlignment="1">
      <alignment horizont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7" fillId="33" borderId="0" xfId="0" applyFont="1" applyFill="1" applyAlignment="1">
      <alignment horizontal="left" vertical="center"/>
    </xf>
    <xf numFmtId="44" fontId="19" fillId="0" borderId="0" xfId="0" applyNumberFormat="1" applyFont="1"/>
    <xf numFmtId="44" fontId="19" fillId="0" borderId="0" xfId="42" applyFont="1" applyBorder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vertical="center"/>
    </xf>
    <xf numFmtId="0" fontId="27" fillId="34" borderId="0" xfId="0" applyFont="1" applyFill="1" applyAlignment="1">
      <alignment horizontal="center" vertical="center"/>
    </xf>
    <xf numFmtId="43" fontId="34" fillId="34" borderId="0" xfId="43" applyFont="1" applyFill="1" applyAlignment="1">
      <alignment horizontal="right" vertical="center"/>
    </xf>
    <xf numFmtId="8" fontId="27" fillId="34" borderId="14" xfId="0" applyNumberFormat="1" applyFont="1" applyFill="1" applyBorder="1" applyAlignment="1">
      <alignment horizontal="right" vertical="center"/>
    </xf>
    <xf numFmtId="0" fontId="34" fillId="34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4" fillId="33" borderId="0" xfId="0" applyFont="1" applyFill="1" applyAlignment="1">
      <alignment vertical="center"/>
    </xf>
    <xf numFmtId="43" fontId="33" fillId="0" borderId="0" xfId="43" applyFont="1"/>
    <xf numFmtId="43" fontId="33" fillId="0" borderId="16" xfId="43" applyFont="1" applyBorder="1"/>
    <xf numFmtId="44" fontId="31" fillId="0" borderId="0" xfId="42" applyFont="1"/>
    <xf numFmtId="0" fontId="27" fillId="33" borderId="0" xfId="0" applyFont="1" applyFill="1" applyAlignment="1">
      <alignment vertical="center"/>
    </xf>
    <xf numFmtId="0" fontId="25" fillId="0" borderId="0" xfId="0" applyFont="1" applyAlignment="1">
      <alignment horizontal="center"/>
    </xf>
    <xf numFmtId="44" fontId="20" fillId="33" borderId="0" xfId="42" applyFont="1" applyFill="1" applyBorder="1"/>
    <xf numFmtId="44" fontId="19" fillId="33" borderId="0" xfId="42" applyFont="1" applyFill="1" applyBorder="1"/>
    <xf numFmtId="0" fontId="21" fillId="33" borderId="0" xfId="0" applyFont="1" applyFill="1"/>
    <xf numFmtId="0" fontId="19" fillId="33" borderId="0" xfId="0" applyFont="1" applyFill="1"/>
    <xf numFmtId="43" fontId="19" fillId="33" borderId="0" xfId="43" applyFont="1" applyFill="1" applyBorder="1"/>
    <xf numFmtId="0" fontId="18" fillId="0" borderId="0" xfId="0" applyFont="1"/>
    <xf numFmtId="44" fontId="19" fillId="33" borderId="0" xfId="0" applyNumberFormat="1" applyFont="1" applyFill="1"/>
    <xf numFmtId="0" fontId="18" fillId="33" borderId="0" xfId="0" applyFont="1" applyFill="1"/>
    <xf numFmtId="0" fontId="22" fillId="0" borderId="0" xfId="0" applyFont="1"/>
    <xf numFmtId="44" fontId="25" fillId="0" borderId="0" xfId="0" applyNumberFormat="1" applyFont="1"/>
    <xf numFmtId="164" fontId="19" fillId="0" borderId="0" xfId="0" applyNumberFormat="1" applyFont="1"/>
    <xf numFmtId="10" fontId="19" fillId="0" borderId="0" xfId="0" applyNumberFormat="1" applyFont="1"/>
    <xf numFmtId="0" fontId="19" fillId="0" borderId="18" xfId="0" applyFont="1" applyBorder="1"/>
    <xf numFmtId="0" fontId="30" fillId="0" borderId="0" xfId="0" applyFont="1"/>
    <xf numFmtId="44" fontId="20" fillId="33" borderId="16" xfId="42" applyFont="1" applyFill="1" applyBorder="1"/>
    <xf numFmtId="0" fontId="20" fillId="0" borderId="19" xfId="0" applyFont="1" applyBorder="1"/>
    <xf numFmtId="0" fontId="20" fillId="0" borderId="13" xfId="0" applyFont="1" applyBorder="1"/>
    <xf numFmtId="0" fontId="35" fillId="33" borderId="0" xfId="0" applyFont="1" applyFill="1"/>
    <xf numFmtId="44" fontId="20" fillId="0" borderId="0" xfId="0" applyNumberFormat="1" applyFont="1"/>
    <xf numFmtId="43" fontId="19" fillId="0" borderId="0" xfId="0" applyNumberFormat="1" applyFont="1"/>
    <xf numFmtId="43" fontId="0" fillId="0" borderId="16" xfId="43" applyFont="1" applyBorder="1"/>
    <xf numFmtId="43" fontId="0" fillId="0" borderId="20" xfId="43" applyFont="1" applyBorder="1"/>
    <xf numFmtId="0" fontId="19" fillId="0" borderId="22" xfId="0" applyFont="1" applyBorder="1"/>
    <xf numFmtId="0" fontId="19" fillId="0" borderId="23" xfId="0" applyFont="1" applyBorder="1"/>
    <xf numFmtId="44" fontId="20" fillId="33" borderId="10" xfId="42" applyFont="1" applyFill="1" applyBorder="1"/>
    <xf numFmtId="44" fontId="20" fillId="33" borderId="10" xfId="42" applyFont="1" applyFill="1" applyBorder="1" applyAlignment="1">
      <alignment horizontal="center"/>
    </xf>
    <xf numFmtId="43" fontId="19" fillId="33" borderId="10" xfId="43" applyFont="1" applyFill="1" applyBorder="1"/>
    <xf numFmtId="0" fontId="36" fillId="0" borderId="0" xfId="0" applyFont="1"/>
    <xf numFmtId="44" fontId="20" fillId="0" borderId="0" xfId="0" applyNumberFormat="1" applyFont="1" applyAlignment="1">
      <alignment wrapText="1"/>
    </xf>
    <xf numFmtId="43" fontId="19" fillId="0" borderId="0" xfId="43" applyFont="1" applyBorder="1"/>
    <xf numFmtId="10" fontId="19" fillId="0" borderId="0" xfId="44" applyNumberFormat="1" applyFont="1" applyBorder="1" applyAlignment="1">
      <alignment horizontal="left"/>
    </xf>
    <xf numFmtId="44" fontId="20" fillId="0" borderId="16" xfId="0" applyNumberFormat="1" applyFont="1" applyBorder="1"/>
    <xf numFmtId="44" fontId="20" fillId="0" borderId="0" xfId="0" applyNumberFormat="1" applyFont="1" applyAlignment="1">
      <alignment horizontal="center"/>
    </xf>
    <xf numFmtId="44" fontId="20" fillId="0" borderId="0" xfId="0" applyNumberFormat="1" applyFont="1" applyAlignment="1">
      <alignment horizontal="center" wrapText="1"/>
    </xf>
    <xf numFmtId="44" fontId="20" fillId="0" borderId="15" xfId="0" applyNumberFormat="1" applyFont="1" applyBorder="1"/>
    <xf numFmtId="43" fontId="27" fillId="34" borderId="14" xfId="0" applyNumberFormat="1" applyFont="1" applyFill="1" applyBorder="1" applyAlignment="1">
      <alignment horizontal="right" vertical="center"/>
    </xf>
    <xf numFmtId="8" fontId="27" fillId="34" borderId="17" xfId="0" applyNumberFormat="1" applyFont="1" applyFill="1" applyBorder="1" applyAlignment="1">
      <alignment horizontal="right" vertical="center"/>
    </xf>
    <xf numFmtId="8" fontId="31" fillId="0" borderId="17" xfId="0" applyNumberFormat="1" applyFont="1" applyBorder="1"/>
    <xf numFmtId="8" fontId="27" fillId="34" borderId="16" xfId="0" applyNumberFormat="1" applyFont="1" applyFill="1" applyBorder="1" applyAlignment="1">
      <alignment horizontal="right" vertical="center"/>
    </xf>
    <xf numFmtId="43" fontId="19" fillId="0" borderId="10" xfId="43" applyFont="1" applyBorder="1"/>
    <xf numFmtId="43" fontId="20" fillId="33" borderId="10" xfId="43" applyFont="1" applyFill="1" applyBorder="1"/>
    <xf numFmtId="0" fontId="20" fillId="33" borderId="0" xfId="42" applyNumberFormat="1" applyFont="1" applyFill="1" applyBorder="1" applyAlignment="1">
      <alignment horizontal="center"/>
    </xf>
    <xf numFmtId="43" fontId="34" fillId="34" borderId="0" xfId="43" applyFont="1" applyFill="1" applyAlignment="1">
      <alignment horizontal="center" vertical="center"/>
    </xf>
    <xf numFmtId="43" fontId="33" fillId="0" borderId="17" xfId="43" applyFont="1" applyBorder="1"/>
    <xf numFmtId="2" fontId="19" fillId="0" borderId="0" xfId="0" applyNumberFormat="1" applyFont="1"/>
    <xf numFmtId="43" fontId="19" fillId="33" borderId="10" xfId="42" applyNumberFormat="1" applyFont="1" applyFill="1" applyBorder="1"/>
    <xf numFmtId="44" fontId="19" fillId="33" borderId="11" xfId="42" applyFont="1" applyFill="1" applyBorder="1"/>
    <xf numFmtId="44" fontId="19" fillId="33" borderId="21" xfId="42" applyFont="1" applyFill="1" applyBorder="1"/>
    <xf numFmtId="43" fontId="19" fillId="33" borderId="10" xfId="43" applyFont="1" applyFill="1" applyBorder="1" applyAlignment="1">
      <alignment horizontal="center"/>
    </xf>
    <xf numFmtId="43" fontId="31" fillId="0" borderId="16" xfId="0" applyNumberFormat="1" applyFont="1" applyBorder="1"/>
    <xf numFmtId="43" fontId="27" fillId="34" borderId="17" xfId="0" applyNumberFormat="1" applyFont="1" applyFill="1" applyBorder="1" applyAlignment="1">
      <alignment horizontal="right" vertical="center"/>
    </xf>
    <xf numFmtId="43" fontId="20" fillId="0" borderId="0" xfId="43" applyFont="1" applyBorder="1" applyAlignment="1">
      <alignment horizontal="left"/>
    </xf>
    <xf numFmtId="44" fontId="20" fillId="0" borderId="10" xfId="0" applyNumberFormat="1" applyFont="1" applyBorder="1"/>
    <xf numFmtId="44" fontId="20" fillId="0" borderId="11" xfId="0" applyNumberFormat="1" applyFont="1" applyBorder="1"/>
    <xf numFmtId="44" fontId="19" fillId="0" borderId="24" xfId="42" applyFont="1" applyBorder="1"/>
    <xf numFmtId="43" fontId="19" fillId="33" borderId="0" xfId="43" applyFont="1" applyFill="1"/>
    <xf numFmtId="0" fontId="27" fillId="0" borderId="0" xfId="0" applyFont="1" applyAlignment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4"/>
  <sheetViews>
    <sheetView tabSelected="1" topLeftCell="A73" zoomScaleNormal="100" workbookViewId="0">
      <selection activeCell="F9" sqref="F9"/>
    </sheetView>
  </sheetViews>
  <sheetFormatPr defaultColWidth="9.109375" defaultRowHeight="18" customHeight="1" x14ac:dyDescent="0.35"/>
  <cols>
    <col min="1" max="1" width="67.33203125" style="59" customWidth="1"/>
    <col min="2" max="2" width="18.88671875" style="2" bestFit="1" customWidth="1"/>
    <col min="3" max="3" width="21" style="2" bestFit="1" customWidth="1"/>
    <col min="4" max="4" width="19.33203125" style="2" customWidth="1"/>
    <col min="5" max="5" width="15.33203125" style="49" customWidth="1"/>
    <col min="6" max="6" width="18.109375" style="1" bestFit="1" customWidth="1"/>
    <col min="7" max="7" width="11.88671875" style="1" bestFit="1" customWidth="1"/>
    <col min="8" max="11" width="9.109375" style="1"/>
    <col min="12" max="12" width="17.5546875" style="1" bestFit="1" customWidth="1"/>
    <col min="13" max="13" width="26.88671875" style="1" bestFit="1" customWidth="1"/>
    <col min="14" max="16" width="9.109375" style="1"/>
    <col min="17" max="17" width="11.44140625" style="1" bestFit="1" customWidth="1"/>
    <col min="18" max="16384" width="9.109375" style="1"/>
  </cols>
  <sheetData>
    <row r="1" spans="1:6" ht="18" customHeight="1" x14ac:dyDescent="0.35">
      <c r="A1" s="5"/>
      <c r="B1" s="38"/>
      <c r="C1" s="38"/>
      <c r="D1" s="38"/>
      <c r="E1" s="5"/>
      <c r="F1" s="49"/>
    </row>
    <row r="2" spans="1:6" ht="18" customHeight="1" x14ac:dyDescent="0.4">
      <c r="A2" s="50" t="s">
        <v>0</v>
      </c>
      <c r="B2" s="83"/>
      <c r="C2" s="84"/>
      <c r="D2" s="38"/>
      <c r="E2" s="60"/>
    </row>
    <row r="3" spans="1:6" s="53" customFormat="1" ht="18" customHeight="1" x14ac:dyDescent="0.35">
      <c r="A3" s="10"/>
      <c r="B3" s="61"/>
      <c r="C3" s="61"/>
      <c r="D3" s="61"/>
      <c r="E3" s="52"/>
    </row>
    <row r="4" spans="1:6" s="10" customFormat="1" ht="18" customHeight="1" x14ac:dyDescent="0.35">
      <c r="A4" s="36"/>
      <c r="B4" s="62"/>
      <c r="C4" s="62"/>
      <c r="D4" s="62" t="s">
        <v>1</v>
      </c>
    </row>
    <row r="5" spans="1:6" s="10" customFormat="1" ht="18" customHeight="1" x14ac:dyDescent="0.35">
      <c r="A5" s="10" t="s">
        <v>2</v>
      </c>
      <c r="B5" s="62" t="s">
        <v>3</v>
      </c>
      <c r="C5" s="62" t="s">
        <v>4</v>
      </c>
      <c r="D5" s="62" t="s">
        <v>5</v>
      </c>
      <c r="F5" s="54"/>
    </row>
    <row r="6" spans="1:6" s="10" customFormat="1" ht="18" customHeight="1" x14ac:dyDescent="0.35">
      <c r="B6" s="62"/>
      <c r="C6" s="62"/>
      <c r="D6" s="62"/>
      <c r="F6" s="54"/>
    </row>
    <row r="7" spans="1:6" s="5" customFormat="1" ht="18" customHeight="1" x14ac:dyDescent="0.35">
      <c r="A7" s="10" t="s">
        <v>6</v>
      </c>
      <c r="B7" s="2"/>
      <c r="C7" s="2"/>
      <c r="D7" s="2"/>
      <c r="F7" s="39"/>
    </row>
    <row r="8" spans="1:6" s="5" customFormat="1" ht="18" customHeight="1" x14ac:dyDescent="0.35">
      <c r="A8" s="10" t="s">
        <v>7</v>
      </c>
      <c r="B8" s="2"/>
      <c r="C8" s="2"/>
      <c r="D8" s="2"/>
      <c r="F8" s="40"/>
    </row>
    <row r="9" spans="1:6" s="5" customFormat="1" ht="18" customHeight="1" x14ac:dyDescent="0.35">
      <c r="A9" s="5" t="s">
        <v>8</v>
      </c>
      <c r="B9" s="63">
        <v>845721.45</v>
      </c>
      <c r="C9" s="63">
        <v>645803.80000000005</v>
      </c>
      <c r="D9" s="63">
        <f>D193-D54-D10-D11-D12-D13-D14-D15</f>
        <v>842989.3331086</v>
      </c>
      <c r="E9" s="67">
        <f>(D9-B9)/B9</f>
        <v>-3.2305162549678234E-3</v>
      </c>
      <c r="F9" s="40"/>
    </row>
    <row r="10" spans="1:6" s="5" customFormat="1" ht="18" customHeight="1" x14ac:dyDescent="0.35">
      <c r="A10" s="5" t="s">
        <v>9</v>
      </c>
      <c r="B10" s="63">
        <v>-149905.41</v>
      </c>
      <c r="C10" s="63"/>
      <c r="D10" s="63">
        <v>33033.5</v>
      </c>
      <c r="E10" s="42"/>
      <c r="F10" s="40"/>
    </row>
    <row r="11" spans="1:6" s="5" customFormat="1" ht="18" customHeight="1" x14ac:dyDescent="0.35">
      <c r="A11" s="5" t="s">
        <v>10</v>
      </c>
      <c r="B11" s="63">
        <v>0</v>
      </c>
      <c r="C11" s="63">
        <v>43556.160000000003</v>
      </c>
      <c r="D11" s="63">
        <v>0</v>
      </c>
      <c r="F11" s="40"/>
    </row>
    <row r="12" spans="1:6" s="5" customFormat="1" ht="18" customHeight="1" x14ac:dyDescent="0.35">
      <c r="A12" s="5" t="s">
        <v>11</v>
      </c>
      <c r="B12" s="63"/>
      <c r="C12" s="63">
        <v>188994.47</v>
      </c>
      <c r="D12" s="63"/>
      <c r="F12" s="40"/>
    </row>
    <row r="13" spans="1:6" s="5" customFormat="1" ht="18" customHeight="1" x14ac:dyDescent="0.35">
      <c r="A13" s="5" t="s">
        <v>12</v>
      </c>
      <c r="B13" s="63">
        <v>5000</v>
      </c>
      <c r="C13" s="63">
        <v>7577.69</v>
      </c>
      <c r="D13" s="63">
        <v>8000</v>
      </c>
      <c r="E13" s="20"/>
      <c r="F13" s="43"/>
    </row>
    <row r="14" spans="1:6" s="5" customFormat="1" ht="18" customHeight="1" x14ac:dyDescent="0.35">
      <c r="A14" s="5" t="s">
        <v>13</v>
      </c>
      <c r="B14" s="63">
        <v>0</v>
      </c>
      <c r="C14" s="63">
        <v>10826.4</v>
      </c>
      <c r="D14" s="63">
        <v>0</v>
      </c>
      <c r="F14" s="43"/>
    </row>
    <row r="15" spans="1:6" s="5" customFormat="1" ht="18" customHeight="1" x14ac:dyDescent="0.35">
      <c r="A15" s="5" t="s">
        <v>14</v>
      </c>
      <c r="B15" s="63">
        <v>0</v>
      </c>
      <c r="C15" s="63">
        <v>2803.19</v>
      </c>
      <c r="D15" s="63">
        <v>0</v>
      </c>
      <c r="E15" s="20"/>
      <c r="F15" s="43"/>
    </row>
    <row r="16" spans="1:6" s="5" customFormat="1" ht="18" customHeight="1" x14ac:dyDescent="0.35">
      <c r="A16" s="10" t="s">
        <v>15</v>
      </c>
      <c r="B16" s="61">
        <f>SUM(B9:B15)</f>
        <v>700816.03999999992</v>
      </c>
      <c r="C16" s="61">
        <f>SUM(C9:C15)</f>
        <v>899561.71</v>
      </c>
      <c r="D16" s="61">
        <f>SUM(D9:D15)</f>
        <v>884022.8331086</v>
      </c>
      <c r="E16" s="56"/>
    </row>
    <row r="17" spans="1:5" s="5" customFormat="1" ht="18" customHeight="1" x14ac:dyDescent="0.35">
      <c r="A17" s="10"/>
      <c r="B17" s="2"/>
      <c r="C17" s="2"/>
      <c r="D17" s="2"/>
    </row>
    <row r="18" spans="1:5" s="5" customFormat="1" ht="18" customHeight="1" x14ac:dyDescent="0.35">
      <c r="A18" s="5" t="s">
        <v>16</v>
      </c>
      <c r="B18" s="63">
        <v>0</v>
      </c>
      <c r="C18" s="63"/>
      <c r="D18" s="63"/>
      <c r="E18" s="20"/>
    </row>
    <row r="19" spans="1:5" s="5" customFormat="1" ht="18" customHeight="1" x14ac:dyDescent="0.35">
      <c r="A19" s="5" t="s">
        <v>17</v>
      </c>
      <c r="B19" s="63">
        <v>2200</v>
      </c>
      <c r="C19" s="63">
        <v>1792.88</v>
      </c>
      <c r="D19" s="63">
        <v>2000</v>
      </c>
    </row>
    <row r="20" spans="1:5" s="5" customFormat="1" ht="18" customHeight="1" x14ac:dyDescent="0.35">
      <c r="A20" s="5" t="s">
        <v>18</v>
      </c>
      <c r="B20" s="63">
        <v>55000</v>
      </c>
      <c r="C20" s="63">
        <v>38881.5</v>
      </c>
      <c r="D20" s="63">
        <v>38000</v>
      </c>
      <c r="E20" s="42"/>
    </row>
    <row r="21" spans="1:5" s="5" customFormat="1" ht="18" customHeight="1" x14ac:dyDescent="0.35">
      <c r="A21" s="5" t="s">
        <v>19</v>
      </c>
      <c r="B21" s="63">
        <v>3400</v>
      </c>
      <c r="C21" s="63">
        <v>3222.92</v>
      </c>
      <c r="D21" s="63">
        <v>3400</v>
      </c>
    </row>
    <row r="22" spans="1:5" s="5" customFormat="1" ht="18" customHeight="1" x14ac:dyDescent="0.35">
      <c r="A22" s="5" t="s">
        <v>20</v>
      </c>
      <c r="B22" s="63">
        <v>17000</v>
      </c>
      <c r="C22" s="63">
        <v>20792</v>
      </c>
      <c r="D22" s="63">
        <v>20000</v>
      </c>
      <c r="E22" s="42"/>
    </row>
    <row r="23" spans="1:5" s="5" customFormat="1" ht="18" customHeight="1" x14ac:dyDescent="0.35">
      <c r="A23" s="5" t="s">
        <v>21</v>
      </c>
      <c r="B23" s="63">
        <v>750</v>
      </c>
      <c r="C23" s="63">
        <v>600</v>
      </c>
      <c r="D23" s="63">
        <v>750</v>
      </c>
    </row>
    <row r="24" spans="1:5" s="5" customFormat="1" ht="18" customHeight="1" x14ac:dyDescent="0.35">
      <c r="A24" s="5" t="s">
        <v>22</v>
      </c>
      <c r="B24" s="63">
        <v>3000</v>
      </c>
      <c r="C24" s="63">
        <v>2977.73</v>
      </c>
      <c r="D24" s="63">
        <v>3000</v>
      </c>
    </row>
    <row r="25" spans="1:5" s="5" customFormat="1" ht="18" customHeight="1" x14ac:dyDescent="0.35">
      <c r="A25" s="5" t="s">
        <v>23</v>
      </c>
      <c r="B25" s="63">
        <v>1600</v>
      </c>
      <c r="C25" s="63">
        <v>135</v>
      </c>
      <c r="D25" s="63">
        <v>200</v>
      </c>
    </row>
    <row r="26" spans="1:5" s="5" customFormat="1" ht="18" customHeight="1" x14ac:dyDescent="0.35">
      <c r="A26" s="5" t="s">
        <v>24</v>
      </c>
      <c r="B26" s="63">
        <v>50</v>
      </c>
      <c r="C26" s="63">
        <v>70</v>
      </c>
      <c r="D26" s="63">
        <v>50</v>
      </c>
    </row>
    <row r="27" spans="1:5" s="5" customFormat="1" ht="18" customHeight="1" x14ac:dyDescent="0.35">
      <c r="A27" s="5" t="s">
        <v>25</v>
      </c>
      <c r="B27" s="63">
        <v>1200</v>
      </c>
      <c r="C27" s="63">
        <v>700</v>
      </c>
      <c r="D27" s="63">
        <v>700</v>
      </c>
    </row>
    <row r="28" spans="1:5" s="5" customFormat="1" ht="18" customHeight="1" x14ac:dyDescent="0.35">
      <c r="A28" s="5" t="s">
        <v>26</v>
      </c>
      <c r="B28" s="63">
        <v>300</v>
      </c>
      <c r="C28" s="63">
        <v>365</v>
      </c>
      <c r="D28" s="63">
        <v>300</v>
      </c>
    </row>
    <row r="29" spans="1:5" s="5" customFormat="1" ht="18" customHeight="1" x14ac:dyDescent="0.35">
      <c r="A29" s="5" t="s">
        <v>27</v>
      </c>
      <c r="B29" s="63"/>
      <c r="C29" s="63">
        <v>20</v>
      </c>
      <c r="D29" s="63">
        <v>20</v>
      </c>
    </row>
    <row r="30" spans="1:5" s="5" customFormat="1" ht="18" customHeight="1" x14ac:dyDescent="0.35">
      <c r="A30" s="5" t="s">
        <v>28</v>
      </c>
      <c r="B30" s="63">
        <v>7700</v>
      </c>
      <c r="C30" s="63">
        <v>3157.5</v>
      </c>
      <c r="D30" s="63">
        <v>3200</v>
      </c>
    </row>
    <row r="31" spans="1:5" s="5" customFormat="1" ht="18" customHeight="1" x14ac:dyDescent="0.35">
      <c r="A31" s="5" t="s">
        <v>29</v>
      </c>
      <c r="B31" s="63">
        <v>1000</v>
      </c>
      <c r="C31" s="63">
        <v>2110</v>
      </c>
      <c r="D31" s="63">
        <v>300</v>
      </c>
    </row>
    <row r="32" spans="1:5" s="5" customFormat="1" ht="18" customHeight="1" x14ac:dyDescent="0.35">
      <c r="A32" s="5" t="s">
        <v>30</v>
      </c>
      <c r="B32" s="63">
        <v>10000</v>
      </c>
      <c r="C32" s="63">
        <v>3020</v>
      </c>
      <c r="D32" s="63">
        <v>3000</v>
      </c>
      <c r="E32" s="20"/>
    </row>
    <row r="33" spans="1:5" s="5" customFormat="1" ht="18" customHeight="1" x14ac:dyDescent="0.35">
      <c r="A33" s="5" t="s">
        <v>31</v>
      </c>
      <c r="B33" s="63">
        <v>100</v>
      </c>
      <c r="C33" s="63">
        <v>80</v>
      </c>
      <c r="D33" s="63">
        <v>100</v>
      </c>
    </row>
    <row r="34" spans="1:5" s="5" customFormat="1" ht="18" customHeight="1" x14ac:dyDescent="0.35">
      <c r="A34" s="5" t="s">
        <v>32</v>
      </c>
      <c r="B34" s="63">
        <v>2500</v>
      </c>
      <c r="C34" s="63">
        <v>2190</v>
      </c>
      <c r="D34" s="63">
        <v>7500</v>
      </c>
      <c r="E34" s="42"/>
    </row>
    <row r="35" spans="1:5" s="5" customFormat="1" ht="18" customHeight="1" x14ac:dyDescent="0.35">
      <c r="A35" s="5" t="s">
        <v>33</v>
      </c>
      <c r="B35" s="63">
        <v>10500</v>
      </c>
      <c r="C35" s="63">
        <v>7170</v>
      </c>
      <c r="D35" s="63">
        <v>500</v>
      </c>
    </row>
    <row r="36" spans="1:5" s="5" customFormat="1" ht="18" customHeight="1" x14ac:dyDescent="0.35">
      <c r="A36" s="5" t="s">
        <v>34</v>
      </c>
      <c r="B36" s="63">
        <v>5000</v>
      </c>
      <c r="C36" s="63">
        <v>20350.22</v>
      </c>
      <c r="D36" s="63">
        <v>5000</v>
      </c>
    </row>
    <row r="37" spans="1:5" s="5" customFormat="1" ht="18" customHeight="1" x14ac:dyDescent="0.35">
      <c r="A37" s="5" t="s">
        <v>35</v>
      </c>
      <c r="B37" s="63">
        <v>40000</v>
      </c>
      <c r="C37" s="63">
        <v>33854.92</v>
      </c>
      <c r="D37" s="63">
        <v>0</v>
      </c>
      <c r="E37" s="42"/>
    </row>
    <row r="38" spans="1:5" s="5" customFormat="1" ht="18" customHeight="1" x14ac:dyDescent="0.35">
      <c r="A38" s="5" t="s">
        <v>36</v>
      </c>
      <c r="B38" s="63">
        <v>12000</v>
      </c>
      <c r="C38" s="63">
        <v>5548.5</v>
      </c>
      <c r="D38" s="63">
        <v>25000</v>
      </c>
      <c r="E38" s="42"/>
    </row>
    <row r="39" spans="1:5" s="5" customFormat="1" ht="18" customHeight="1" x14ac:dyDescent="0.35">
      <c r="A39" s="5" t="s">
        <v>37</v>
      </c>
      <c r="B39" s="63">
        <v>9208</v>
      </c>
      <c r="C39" s="63">
        <v>5008</v>
      </c>
      <c r="D39" s="63">
        <v>0</v>
      </c>
      <c r="E39" s="44"/>
    </row>
    <row r="40" spans="1:5" s="5" customFormat="1" ht="18" customHeight="1" x14ac:dyDescent="0.35">
      <c r="A40" s="5" t="s">
        <v>38</v>
      </c>
      <c r="B40" s="63">
        <v>500</v>
      </c>
      <c r="C40" s="63">
        <v>500</v>
      </c>
      <c r="D40" s="63">
        <v>500</v>
      </c>
    </row>
    <row r="41" spans="1:5" s="5" customFormat="1" ht="18" customHeight="1" x14ac:dyDescent="0.35">
      <c r="A41" s="5" t="s">
        <v>39</v>
      </c>
      <c r="B41" s="63"/>
      <c r="C41" s="63"/>
      <c r="D41" s="63">
        <v>20000</v>
      </c>
    </row>
    <row r="42" spans="1:5" s="5" customFormat="1" ht="18" customHeight="1" x14ac:dyDescent="0.35">
      <c r="A42" s="5" t="s">
        <v>40</v>
      </c>
      <c r="B42" s="63"/>
      <c r="C42" s="63">
        <v>558.19000000000005</v>
      </c>
      <c r="D42" s="63"/>
    </row>
    <row r="43" spans="1:5" s="5" customFormat="1" ht="18" customHeight="1" x14ac:dyDescent="0.35">
      <c r="A43" s="5" t="s">
        <v>41</v>
      </c>
      <c r="B43" s="63"/>
      <c r="C43" s="63">
        <v>1205</v>
      </c>
      <c r="D43" s="63">
        <v>1200</v>
      </c>
    </row>
    <row r="44" spans="1:5" s="5" customFormat="1" ht="18" customHeight="1" x14ac:dyDescent="0.35">
      <c r="A44" s="5" t="s">
        <v>42</v>
      </c>
      <c r="B44" s="63">
        <v>4000</v>
      </c>
      <c r="C44" s="63">
        <v>410.5</v>
      </c>
      <c r="D44" s="63">
        <v>2000</v>
      </c>
      <c r="E44" s="45"/>
    </row>
    <row r="45" spans="1:5" s="5" customFormat="1" ht="18" customHeight="1" x14ac:dyDescent="0.35">
      <c r="A45" s="5" t="s">
        <v>43</v>
      </c>
      <c r="B45" s="63">
        <v>0</v>
      </c>
      <c r="C45" s="63">
        <v>1157.0999999999999</v>
      </c>
      <c r="D45" s="63"/>
    </row>
    <row r="46" spans="1:5" s="5" customFormat="1" ht="18" customHeight="1" x14ac:dyDescent="0.35">
      <c r="A46" s="5" t="s">
        <v>44</v>
      </c>
      <c r="B46" s="63">
        <v>1000</v>
      </c>
      <c r="C46" s="63">
        <v>603.65</v>
      </c>
      <c r="D46" s="63">
        <v>600</v>
      </c>
      <c r="E46" s="46"/>
    </row>
    <row r="47" spans="1:5" s="5" customFormat="1" ht="18" customHeight="1" x14ac:dyDescent="0.35">
      <c r="A47" s="5" t="s">
        <v>45</v>
      </c>
      <c r="B47" s="63"/>
      <c r="C47" s="63">
        <v>93.9</v>
      </c>
      <c r="D47" s="63"/>
      <c r="E47" s="46"/>
    </row>
    <row r="48" spans="1:5" s="5" customFormat="1" ht="18" customHeight="1" x14ac:dyDescent="0.35">
      <c r="A48" s="5" t="s">
        <v>46</v>
      </c>
      <c r="B48" s="63">
        <v>6000</v>
      </c>
      <c r="C48" s="63">
        <v>6467.95</v>
      </c>
      <c r="D48" s="63">
        <v>6500</v>
      </c>
      <c r="E48" s="46"/>
    </row>
    <row r="49" spans="1:12" s="5" customFormat="1" ht="18" customHeight="1" x14ac:dyDescent="0.35">
      <c r="A49" s="5" t="s">
        <v>47</v>
      </c>
      <c r="B49" s="63">
        <v>500</v>
      </c>
      <c r="C49" s="63">
        <v>830</v>
      </c>
      <c r="D49" s="63">
        <v>700</v>
      </c>
      <c r="E49" s="45"/>
    </row>
    <row r="50" spans="1:12" s="5" customFormat="1" ht="18" customHeight="1" x14ac:dyDescent="0.35">
      <c r="A50" s="5" t="s">
        <v>48</v>
      </c>
      <c r="B50" s="63"/>
      <c r="C50" s="63">
        <v>3700</v>
      </c>
      <c r="D50" s="63">
        <v>3000</v>
      </c>
      <c r="E50" s="45"/>
    </row>
    <row r="51" spans="1:12" s="5" customFormat="1" ht="18" customHeight="1" x14ac:dyDescent="0.35">
      <c r="A51" s="5" t="s">
        <v>49</v>
      </c>
      <c r="B51" s="63"/>
      <c r="C51" s="63">
        <v>10750</v>
      </c>
      <c r="D51" s="63"/>
      <c r="E51" s="45"/>
    </row>
    <row r="52" spans="1:12" s="5" customFormat="1" ht="18" customHeight="1" x14ac:dyDescent="0.35">
      <c r="A52" s="5" t="s">
        <v>50</v>
      </c>
      <c r="B52" s="63">
        <v>10608.88</v>
      </c>
      <c r="C52" s="85" t="s">
        <v>51</v>
      </c>
      <c r="D52" s="63"/>
      <c r="E52" s="45"/>
    </row>
    <row r="53" spans="1:12" s="5" customFormat="1" ht="18" customHeight="1" x14ac:dyDescent="0.35">
      <c r="B53" s="2"/>
      <c r="C53" s="2"/>
      <c r="D53" s="2"/>
    </row>
    <row r="54" spans="1:12" s="10" customFormat="1" ht="18" customHeight="1" x14ac:dyDescent="0.35">
      <c r="A54" s="10" t="s">
        <v>52</v>
      </c>
      <c r="B54" s="61">
        <f>SUM(B18:B52)</f>
        <v>205116.88</v>
      </c>
      <c r="C54" s="61">
        <f>SUM(C18:C52)</f>
        <v>178322.46</v>
      </c>
      <c r="D54" s="61">
        <f>SUM(D18:D52)</f>
        <v>147520</v>
      </c>
    </row>
    <row r="55" spans="1:12" s="10" customFormat="1" ht="18" customHeight="1" x14ac:dyDescent="0.35">
      <c r="B55" s="61"/>
      <c r="C55" s="61"/>
      <c r="D55" s="61"/>
    </row>
    <row r="56" spans="1:12" s="10" customFormat="1" ht="18" customHeight="1" x14ac:dyDescent="0.35">
      <c r="A56" s="10" t="s">
        <v>53</v>
      </c>
      <c r="B56" s="61">
        <f>B54+B16</f>
        <v>905932.91999999993</v>
      </c>
      <c r="C56" s="61">
        <f>C54+C16</f>
        <v>1077884.17</v>
      </c>
      <c r="D56" s="61">
        <f>D54+D16</f>
        <v>1031542.8331086</v>
      </c>
      <c r="L56" s="55"/>
    </row>
    <row r="57" spans="1:12" s="5" customFormat="1" ht="18" customHeight="1" x14ac:dyDescent="0.35">
      <c r="A57" s="10"/>
      <c r="B57" s="61"/>
      <c r="C57" s="61"/>
      <c r="D57" s="61"/>
      <c r="L57" s="20"/>
    </row>
    <row r="58" spans="1:12" s="5" customFormat="1" ht="18" customHeight="1" x14ac:dyDescent="0.35">
      <c r="A58" s="10" t="s">
        <v>54</v>
      </c>
      <c r="B58" s="61"/>
      <c r="C58" s="61"/>
      <c r="D58" s="61"/>
      <c r="E58" s="21"/>
    </row>
    <row r="59" spans="1:12" s="5" customFormat="1" ht="18" customHeight="1" x14ac:dyDescent="0.35">
      <c r="A59" s="10" t="s">
        <v>55</v>
      </c>
      <c r="B59" s="2"/>
      <c r="C59" s="2"/>
      <c r="D59" s="2"/>
    </row>
    <row r="60" spans="1:12" s="5" customFormat="1" ht="18" customHeight="1" x14ac:dyDescent="0.35">
      <c r="A60" s="10" t="s">
        <v>56</v>
      </c>
      <c r="B60" s="2"/>
      <c r="C60" s="2"/>
      <c r="D60" s="63"/>
      <c r="E60" s="42"/>
    </row>
    <row r="61" spans="1:12" s="5" customFormat="1" ht="18" customHeight="1" x14ac:dyDescent="0.35">
      <c r="A61" s="5" t="s">
        <v>57</v>
      </c>
      <c r="B61" s="63">
        <v>1750</v>
      </c>
      <c r="C61" s="63">
        <v>1400</v>
      </c>
      <c r="D61" s="76">
        <v>1750</v>
      </c>
      <c r="E61" s="42"/>
    </row>
    <row r="62" spans="1:12" s="5" customFormat="1" ht="18" customHeight="1" x14ac:dyDescent="0.35">
      <c r="A62" s="5" t="s">
        <v>58</v>
      </c>
      <c r="B62" s="63">
        <v>72775</v>
      </c>
      <c r="C62" s="63">
        <v>72775.039999999994</v>
      </c>
      <c r="D62" s="76">
        <f>'Payroll &amp; Benefits'!F19</f>
        <v>74958.25</v>
      </c>
    </row>
    <row r="63" spans="1:12" s="5" customFormat="1" ht="18" customHeight="1" x14ac:dyDescent="0.35">
      <c r="A63" s="5" t="s">
        <v>59</v>
      </c>
      <c r="B63" s="63">
        <v>40534</v>
      </c>
      <c r="C63" s="63">
        <v>41492.83</v>
      </c>
      <c r="D63" s="76">
        <f>'Payroll &amp; Benefits'!F25</f>
        <v>50295.983</v>
      </c>
      <c r="E63" s="45"/>
    </row>
    <row r="64" spans="1:12" s="5" customFormat="1" ht="18" customHeight="1" x14ac:dyDescent="0.35">
      <c r="A64" s="5" t="s">
        <v>60</v>
      </c>
      <c r="B64" s="63">
        <v>100</v>
      </c>
      <c r="C64" s="63">
        <v>30</v>
      </c>
      <c r="D64" s="76">
        <v>100</v>
      </c>
      <c r="E64" s="42"/>
    </row>
    <row r="65" spans="1:17" s="5" customFormat="1" ht="18" customHeight="1" x14ac:dyDescent="0.35">
      <c r="A65" s="5" t="s">
        <v>61</v>
      </c>
      <c r="B65" s="63">
        <v>25270</v>
      </c>
      <c r="C65" s="63">
        <v>24578.880000000001</v>
      </c>
      <c r="D65" s="76">
        <f>'Payroll &amp; Benefits'!F34</f>
        <v>26028.1</v>
      </c>
      <c r="E65" s="42"/>
    </row>
    <row r="66" spans="1:17" s="5" customFormat="1" ht="18" customHeight="1" x14ac:dyDescent="0.35">
      <c r="A66" s="5" t="s">
        <v>62</v>
      </c>
      <c r="B66" s="63">
        <v>56532.959999999999</v>
      </c>
      <c r="C66" s="63">
        <v>50580.9</v>
      </c>
      <c r="D66" s="76">
        <f>'Payroll &amp; Benefits'!F18</f>
        <v>50575.694000000003</v>
      </c>
    </row>
    <row r="67" spans="1:17" s="5" customFormat="1" ht="18" customHeight="1" x14ac:dyDescent="0.35">
      <c r="A67" s="5" t="s">
        <v>63</v>
      </c>
      <c r="B67" s="63">
        <v>16016</v>
      </c>
      <c r="C67" s="63">
        <v>15317.5</v>
      </c>
      <c r="D67" s="76">
        <f>'Payroll &amp; Benefits'!F17</f>
        <v>16496.48</v>
      </c>
    </row>
    <row r="68" spans="1:17" s="5" customFormat="1" ht="18" customHeight="1" x14ac:dyDescent="0.35">
      <c r="A68" s="5" t="s">
        <v>64</v>
      </c>
      <c r="B68" s="63">
        <v>500</v>
      </c>
      <c r="C68" s="63">
        <v>760</v>
      </c>
      <c r="D68" s="76">
        <v>1000</v>
      </c>
      <c r="Q68" s="5" t="s">
        <v>65</v>
      </c>
    </row>
    <row r="69" spans="1:17" s="5" customFormat="1" ht="18" customHeight="1" x14ac:dyDescent="0.35">
      <c r="A69" s="5" t="s">
        <v>66</v>
      </c>
      <c r="B69" s="63">
        <v>500</v>
      </c>
      <c r="C69" s="63">
        <v>0</v>
      </c>
      <c r="D69" s="76">
        <v>500</v>
      </c>
      <c r="E69" s="42"/>
    </row>
    <row r="70" spans="1:17" s="5" customFormat="1" ht="18" customHeight="1" x14ac:dyDescent="0.35">
      <c r="A70" s="5" t="s">
        <v>67</v>
      </c>
      <c r="B70" s="63">
        <v>500</v>
      </c>
      <c r="C70" s="63">
        <v>425</v>
      </c>
      <c r="D70" s="76">
        <v>500</v>
      </c>
    </row>
    <row r="71" spans="1:17" s="5" customFormat="1" ht="18" customHeight="1" x14ac:dyDescent="0.35">
      <c r="A71" s="5" t="s">
        <v>68</v>
      </c>
      <c r="B71" s="63">
        <v>10416</v>
      </c>
      <c r="C71" s="63">
        <v>10767.54</v>
      </c>
      <c r="D71" s="76">
        <f>'Payroll &amp; Benefits'!F26</f>
        <v>13947.023999999999</v>
      </c>
    </row>
    <row r="72" spans="1:17" s="5" customFormat="1" ht="18" customHeight="1" x14ac:dyDescent="0.35">
      <c r="A72" s="5" t="s">
        <v>69</v>
      </c>
      <c r="B72" s="63">
        <v>300</v>
      </c>
      <c r="C72" s="63">
        <v>190</v>
      </c>
      <c r="D72" s="76">
        <v>300</v>
      </c>
    </row>
    <row r="73" spans="1:17" s="5" customFormat="1" ht="18" customHeight="1" x14ac:dyDescent="0.35">
      <c r="A73" s="5" t="s">
        <v>70</v>
      </c>
      <c r="B73" s="63">
        <v>8500</v>
      </c>
      <c r="C73" s="63">
        <v>8653.5</v>
      </c>
      <c r="D73" s="76">
        <v>8700</v>
      </c>
      <c r="E73" s="42"/>
    </row>
    <row r="74" spans="1:17" s="5" customFormat="1" ht="18" customHeight="1" x14ac:dyDescent="0.35">
      <c r="A74" s="5" t="s">
        <v>71</v>
      </c>
      <c r="B74" s="63">
        <v>0</v>
      </c>
      <c r="C74" s="63">
        <v>10657.67</v>
      </c>
      <c r="D74" s="76">
        <v>0</v>
      </c>
    </row>
    <row r="75" spans="1:17" s="5" customFormat="1" ht="18" customHeight="1" x14ac:dyDescent="0.35">
      <c r="A75" s="5" t="s">
        <v>72</v>
      </c>
      <c r="B75" s="63">
        <v>8630.75</v>
      </c>
      <c r="C75" s="63">
        <v>8916.9699999999993</v>
      </c>
      <c r="D75" s="76">
        <f>'Payroll &amp; Benefits'!F24</f>
        <v>10687.5</v>
      </c>
      <c r="E75" s="42"/>
      <c r="L75" s="20"/>
    </row>
    <row r="76" spans="1:17" s="5" customFormat="1" ht="18" customHeight="1" x14ac:dyDescent="0.35">
      <c r="A76" s="5" t="s">
        <v>73</v>
      </c>
      <c r="B76" s="63">
        <v>13500</v>
      </c>
      <c r="C76" s="63">
        <v>16137</v>
      </c>
      <c r="D76" s="76">
        <f>'Payroll &amp; Benefits'!F38</f>
        <v>17000</v>
      </c>
      <c r="L76" s="47"/>
    </row>
    <row r="77" spans="1:17" s="5" customFormat="1" ht="18" customHeight="1" x14ac:dyDescent="0.35">
      <c r="A77" s="40" t="s">
        <v>74</v>
      </c>
      <c r="B77" s="63">
        <f>8662.23+57748.32</f>
        <v>66410.55</v>
      </c>
      <c r="C77" s="63">
        <v>48186.6</v>
      </c>
      <c r="D77" s="76">
        <f>'Payroll &amp; Benefits'!K20+'Payroll &amp; Benefits'!K27</f>
        <v>58377.120000000003</v>
      </c>
      <c r="E77" s="45"/>
    </row>
    <row r="78" spans="1:17" s="5" customFormat="1" ht="18" customHeight="1" x14ac:dyDescent="0.35">
      <c r="A78" s="5" t="s">
        <v>75</v>
      </c>
      <c r="B78" s="63">
        <v>10000</v>
      </c>
      <c r="C78" s="63">
        <v>2823.56</v>
      </c>
      <c r="D78" s="76">
        <f>'Payroll &amp; Benefits'!L20+'Payroll &amp; Benefits'!L27-2800</f>
        <v>2600</v>
      </c>
      <c r="L78" s="20"/>
    </row>
    <row r="79" spans="1:17" s="5" customFormat="1" ht="18" customHeight="1" x14ac:dyDescent="0.35">
      <c r="A79" s="5" t="s">
        <v>76</v>
      </c>
      <c r="B79" s="63">
        <v>20945.900000000001</v>
      </c>
      <c r="C79" s="63">
        <v>21152.93</v>
      </c>
      <c r="D79" s="76">
        <f>'Payroll &amp; Benefits'!G20+'Payroll &amp; Benefits'!H20+'Payroll &amp; Benefits'!G27+'Payroll &amp; Benefits'!H27+'Payroll &amp; Benefits'!G34+'Payroll &amp; Benefits'!H34+'Payroll &amp; Benefits'!G38+'Payroll &amp; Benefits'!H38</f>
        <v>23659.001820999998</v>
      </c>
      <c r="L79" s="20"/>
    </row>
    <row r="80" spans="1:17" s="5" customFormat="1" ht="18" customHeight="1" x14ac:dyDescent="0.35">
      <c r="A80" s="5" t="s">
        <v>77</v>
      </c>
      <c r="B80" s="63">
        <f>639.43+262.16+111.19</f>
        <v>1012.78</v>
      </c>
      <c r="C80" s="63">
        <v>1076.08</v>
      </c>
      <c r="D80" s="76">
        <f>'Payroll &amp; Benefits'!I20+'Payroll &amp; Benefits'!I27+'Payroll &amp; Benefits'!I34+'Payroll &amp; Benefits'!I38</f>
        <v>1143.9517364000001</v>
      </c>
    </row>
    <row r="81" spans="1:13" s="5" customFormat="1" ht="18" customHeight="1" x14ac:dyDescent="0.35">
      <c r="A81" s="5" t="s">
        <v>78</v>
      </c>
      <c r="B81" s="63">
        <f>21814.25</f>
        <v>21814.25</v>
      </c>
      <c r="C81" s="63">
        <v>21009.31</v>
      </c>
      <c r="D81" s="76">
        <f>'Payroll &amp; Benefits'!J20</f>
        <v>21629.498551200002</v>
      </c>
      <c r="L81" s="47"/>
      <c r="M81" s="48"/>
    </row>
    <row r="82" spans="1:13" s="5" customFormat="1" ht="18" customHeight="1" x14ac:dyDescent="0.35">
      <c r="A82" s="5" t="s">
        <v>79</v>
      </c>
      <c r="B82" s="63">
        <v>2192</v>
      </c>
      <c r="C82" s="63">
        <v>2192.36</v>
      </c>
      <c r="D82" s="76">
        <v>2195</v>
      </c>
    </row>
    <row r="83" spans="1:13" s="5" customFormat="1" ht="18" customHeight="1" x14ac:dyDescent="0.35">
      <c r="A83" s="5" t="s">
        <v>80</v>
      </c>
      <c r="B83" s="63">
        <v>400</v>
      </c>
      <c r="C83" s="63">
        <v>377.4</v>
      </c>
      <c r="D83" s="76">
        <v>505</v>
      </c>
      <c r="E83" s="20"/>
    </row>
    <row r="84" spans="1:13" s="5" customFormat="1" ht="18" customHeight="1" x14ac:dyDescent="0.35">
      <c r="A84" s="10" t="s">
        <v>81</v>
      </c>
      <c r="B84" s="61">
        <f>SUM(B61:B83)</f>
        <v>378600.19000000006</v>
      </c>
      <c r="C84" s="61">
        <f>SUM(C61:C83)</f>
        <v>359501.07</v>
      </c>
      <c r="D84" s="77">
        <f>SUM(D61:D83)</f>
        <v>382948.60310860007</v>
      </c>
    </row>
    <row r="85" spans="1:13" s="5" customFormat="1" ht="18" customHeight="1" x14ac:dyDescent="0.35">
      <c r="B85" s="63"/>
      <c r="C85" s="63"/>
      <c r="D85" s="63"/>
    </row>
    <row r="86" spans="1:13" s="5" customFormat="1" ht="18" customHeight="1" x14ac:dyDescent="0.35">
      <c r="A86" s="10" t="s">
        <v>82</v>
      </c>
      <c r="B86" s="2"/>
      <c r="C86" s="2"/>
      <c r="D86" s="63"/>
    </row>
    <row r="87" spans="1:13" s="5" customFormat="1" ht="18" customHeight="1" x14ac:dyDescent="0.35">
      <c r="A87" s="5" t="s">
        <v>83</v>
      </c>
      <c r="B87" s="63">
        <v>1200</v>
      </c>
      <c r="C87" s="63">
        <v>1272.5</v>
      </c>
      <c r="D87" s="76">
        <v>500</v>
      </c>
    </row>
    <row r="88" spans="1:13" s="5" customFormat="1" ht="18" customHeight="1" x14ac:dyDescent="0.35">
      <c r="A88" s="5" t="s">
        <v>84</v>
      </c>
      <c r="B88" s="63">
        <v>900</v>
      </c>
      <c r="C88" s="63">
        <v>0</v>
      </c>
      <c r="D88" s="76"/>
    </row>
    <row r="89" spans="1:13" s="5" customFormat="1" ht="18" customHeight="1" x14ac:dyDescent="0.35">
      <c r="A89" s="5" t="s">
        <v>85</v>
      </c>
      <c r="B89" s="63">
        <v>1300</v>
      </c>
      <c r="C89" s="63">
        <v>1435.16</v>
      </c>
      <c r="D89" s="76">
        <f>4020+1500</f>
        <v>5520</v>
      </c>
      <c r="E89" s="5" t="s">
        <v>86</v>
      </c>
    </row>
    <row r="90" spans="1:13" s="5" customFormat="1" ht="18" customHeight="1" x14ac:dyDescent="0.35">
      <c r="A90" s="5" t="s">
        <v>87</v>
      </c>
      <c r="B90" s="63">
        <v>110</v>
      </c>
      <c r="C90" s="63">
        <v>45.22</v>
      </c>
      <c r="D90" s="76">
        <v>75</v>
      </c>
    </row>
    <row r="91" spans="1:13" s="5" customFormat="1" ht="18" customHeight="1" x14ac:dyDescent="0.35">
      <c r="A91" s="5" t="s">
        <v>88</v>
      </c>
      <c r="B91" s="63">
        <v>4945</v>
      </c>
      <c r="C91" s="63">
        <v>448.84</v>
      </c>
      <c r="D91" s="76">
        <v>460</v>
      </c>
    </row>
    <row r="92" spans="1:13" s="5" customFormat="1" ht="18" customHeight="1" x14ac:dyDescent="0.35">
      <c r="A92" s="5" t="s">
        <v>89</v>
      </c>
      <c r="B92" s="63">
        <v>4500</v>
      </c>
      <c r="C92" s="63">
        <v>5237.41</v>
      </c>
      <c r="D92" s="76">
        <v>4500</v>
      </c>
    </row>
    <row r="93" spans="1:13" s="5" customFormat="1" ht="18" customHeight="1" x14ac:dyDescent="0.35">
      <c r="A93" s="5" t="s">
        <v>90</v>
      </c>
      <c r="B93" s="63">
        <v>4500</v>
      </c>
      <c r="C93" s="63">
        <v>4244.3999999999996</v>
      </c>
      <c r="D93" s="76">
        <v>4500</v>
      </c>
    </row>
    <row r="94" spans="1:13" s="5" customFormat="1" ht="18" customHeight="1" x14ac:dyDescent="0.35">
      <c r="A94" s="5" t="s">
        <v>91</v>
      </c>
      <c r="B94" s="63">
        <v>300</v>
      </c>
      <c r="C94" s="63">
        <v>384</v>
      </c>
      <c r="D94" s="76">
        <v>300</v>
      </c>
    </row>
    <row r="95" spans="1:13" s="5" customFormat="1" ht="18" customHeight="1" x14ac:dyDescent="0.35">
      <c r="A95" s="5" t="s">
        <v>92</v>
      </c>
      <c r="B95" s="63">
        <v>500</v>
      </c>
      <c r="C95" s="63">
        <v>40</v>
      </c>
      <c r="D95" s="76">
        <v>300</v>
      </c>
    </row>
    <row r="96" spans="1:13" s="5" customFormat="1" ht="18" customHeight="1" x14ac:dyDescent="0.35">
      <c r="A96" s="5" t="s">
        <v>93</v>
      </c>
      <c r="B96" s="63">
        <v>1200</v>
      </c>
      <c r="C96" s="63">
        <v>1117.28</v>
      </c>
      <c r="D96" s="76">
        <v>1200</v>
      </c>
    </row>
    <row r="97" spans="1:5" s="5" customFormat="1" ht="18" customHeight="1" x14ac:dyDescent="0.35">
      <c r="A97" s="5" t="s">
        <v>94</v>
      </c>
      <c r="B97" s="63">
        <v>2700</v>
      </c>
      <c r="C97" s="63">
        <v>1759.16</v>
      </c>
      <c r="D97" s="76">
        <v>2000</v>
      </c>
      <c r="E97" s="42"/>
    </row>
    <row r="98" spans="1:5" s="5" customFormat="1" ht="18" customHeight="1" x14ac:dyDescent="0.35">
      <c r="A98" s="5" t="s">
        <v>95</v>
      </c>
      <c r="B98" s="63">
        <v>100</v>
      </c>
      <c r="C98" s="63">
        <v>0</v>
      </c>
      <c r="D98" s="76">
        <v>100</v>
      </c>
    </row>
    <row r="99" spans="1:5" s="5" customFormat="1" ht="18" customHeight="1" x14ac:dyDescent="0.35">
      <c r="A99" s="5" t="s">
        <v>96</v>
      </c>
      <c r="B99" s="63">
        <v>5000</v>
      </c>
      <c r="C99" s="63">
        <v>3094.05</v>
      </c>
      <c r="D99" s="76">
        <v>4000</v>
      </c>
    </row>
    <row r="100" spans="1:5" s="5" customFormat="1" ht="18" customHeight="1" x14ac:dyDescent="0.35">
      <c r="A100" s="5" t="s">
        <v>97</v>
      </c>
      <c r="B100" s="63">
        <v>18000</v>
      </c>
      <c r="C100" s="63">
        <v>23976.23</v>
      </c>
      <c r="D100" s="76">
        <v>25000</v>
      </c>
      <c r="E100" s="5" t="s">
        <v>98</v>
      </c>
    </row>
    <row r="101" spans="1:5" s="5" customFormat="1" ht="18" customHeight="1" x14ac:dyDescent="0.35">
      <c r="A101" s="5" t="s">
        <v>99</v>
      </c>
      <c r="B101" s="63">
        <v>5500</v>
      </c>
      <c r="C101" s="63">
        <v>7228.02</v>
      </c>
      <c r="D101" s="76">
        <v>7200</v>
      </c>
    </row>
    <row r="102" spans="1:5" s="5" customFormat="1" ht="18" customHeight="1" x14ac:dyDescent="0.35">
      <c r="A102" s="5" t="s">
        <v>100</v>
      </c>
      <c r="B102" s="63">
        <v>1000</v>
      </c>
      <c r="C102" s="63">
        <v>730</v>
      </c>
      <c r="D102" s="76">
        <v>800</v>
      </c>
    </row>
    <row r="103" spans="1:5" s="5" customFormat="1" ht="18" customHeight="1" x14ac:dyDescent="0.35">
      <c r="A103" s="5" t="s">
        <v>101</v>
      </c>
      <c r="B103" s="63">
        <v>1000</v>
      </c>
      <c r="C103" s="63">
        <v>97</v>
      </c>
      <c r="D103" s="76">
        <v>500</v>
      </c>
    </row>
    <row r="104" spans="1:5" s="5" customFormat="1" ht="18" customHeight="1" x14ac:dyDescent="0.35">
      <c r="A104" s="5" t="s">
        <v>102</v>
      </c>
      <c r="B104" s="63">
        <v>1000</v>
      </c>
      <c r="C104" s="63">
        <v>1167.55</v>
      </c>
      <c r="D104" s="76">
        <v>1000</v>
      </c>
    </row>
    <row r="105" spans="1:5" s="5" customFormat="1" ht="18" customHeight="1" x14ac:dyDescent="0.35">
      <c r="A105" s="10" t="s">
        <v>103</v>
      </c>
      <c r="B105" s="61">
        <f>SUM(B87:B104)</f>
        <v>53755</v>
      </c>
      <c r="C105" s="61">
        <f>SUM(C87:C104)</f>
        <v>52276.820000000007</v>
      </c>
      <c r="D105" s="77">
        <f>SUM(D87:D104)</f>
        <v>57955</v>
      </c>
    </row>
    <row r="106" spans="1:5" s="5" customFormat="1" ht="18" customHeight="1" x14ac:dyDescent="0.35">
      <c r="B106" s="2"/>
      <c r="C106" s="2"/>
      <c r="D106" s="63"/>
    </row>
    <row r="107" spans="1:5" s="5" customFormat="1" ht="18" customHeight="1" x14ac:dyDescent="0.35">
      <c r="A107" s="10" t="s">
        <v>104</v>
      </c>
      <c r="B107" s="2"/>
      <c r="C107" s="2"/>
      <c r="D107" s="63"/>
    </row>
    <row r="108" spans="1:5" s="5" customFormat="1" ht="18" customHeight="1" x14ac:dyDescent="0.35">
      <c r="A108" s="5" t="s">
        <v>105</v>
      </c>
      <c r="B108" s="63">
        <v>1155</v>
      </c>
      <c r="C108" s="63">
        <v>985</v>
      </c>
      <c r="D108" s="76">
        <v>1200</v>
      </c>
    </row>
    <row r="109" spans="1:5" s="5" customFormat="1" ht="18" customHeight="1" x14ac:dyDescent="0.35">
      <c r="A109" s="5" t="s">
        <v>106</v>
      </c>
      <c r="B109" s="63">
        <v>3600</v>
      </c>
      <c r="C109" s="63">
        <v>4228.54</v>
      </c>
      <c r="D109" s="76">
        <v>4000</v>
      </c>
    </row>
    <row r="110" spans="1:5" s="5" customFormat="1" ht="18" customHeight="1" x14ac:dyDescent="0.35">
      <c r="A110" s="5" t="s">
        <v>107</v>
      </c>
      <c r="B110" s="63">
        <v>20000</v>
      </c>
      <c r="C110" s="63">
        <v>14101.51</v>
      </c>
      <c r="D110" s="76">
        <v>13000</v>
      </c>
    </row>
    <row r="111" spans="1:5" s="5" customFormat="1" ht="18" customHeight="1" x14ac:dyDescent="0.35">
      <c r="A111" s="5" t="s">
        <v>108</v>
      </c>
      <c r="B111" s="63">
        <v>5000</v>
      </c>
      <c r="C111" s="63">
        <v>3484.1</v>
      </c>
      <c r="D111" s="76">
        <v>4000</v>
      </c>
    </row>
    <row r="112" spans="1:5" s="5" customFormat="1" ht="18" customHeight="1" x14ac:dyDescent="0.35">
      <c r="A112" s="5" t="s">
        <v>109</v>
      </c>
      <c r="B112" s="63">
        <v>14445</v>
      </c>
      <c r="C112" s="63">
        <v>12445.08</v>
      </c>
      <c r="D112" s="76">
        <v>13000</v>
      </c>
      <c r="E112" s="42"/>
    </row>
    <row r="113" spans="1:5" s="5" customFormat="1" ht="18" customHeight="1" x14ac:dyDescent="0.35">
      <c r="A113" s="5" t="s">
        <v>110</v>
      </c>
      <c r="B113" s="63">
        <v>500</v>
      </c>
      <c r="C113" s="63">
        <v>125.72</v>
      </c>
      <c r="D113" s="76">
        <v>500</v>
      </c>
    </row>
    <row r="114" spans="1:5" s="5" customFormat="1" ht="18" customHeight="1" x14ac:dyDescent="0.35">
      <c r="A114" s="5" t="s">
        <v>111</v>
      </c>
      <c r="B114" s="63">
        <v>0</v>
      </c>
      <c r="C114" s="63">
        <v>0</v>
      </c>
      <c r="D114" s="76"/>
    </row>
    <row r="115" spans="1:5" s="5" customFormat="1" ht="18" customHeight="1" x14ac:dyDescent="0.35">
      <c r="A115" s="5" t="s">
        <v>112</v>
      </c>
      <c r="B115" s="63">
        <v>4000</v>
      </c>
      <c r="C115" s="63">
        <v>4003.14</v>
      </c>
      <c r="D115" s="76">
        <v>3700</v>
      </c>
    </row>
    <row r="116" spans="1:5" s="5" customFormat="1" ht="18" customHeight="1" x14ac:dyDescent="0.35">
      <c r="A116" s="5" t="s">
        <v>113</v>
      </c>
      <c r="B116" s="63">
        <v>4500</v>
      </c>
      <c r="C116" s="63">
        <v>3453.63</v>
      </c>
      <c r="D116" s="76">
        <v>3000</v>
      </c>
    </row>
    <row r="117" spans="1:5" s="5" customFormat="1" ht="18" customHeight="1" x14ac:dyDescent="0.35">
      <c r="A117" s="5" t="s">
        <v>114</v>
      </c>
      <c r="B117" s="63">
        <v>0</v>
      </c>
      <c r="C117" s="63"/>
      <c r="D117" s="76">
        <v>0</v>
      </c>
    </row>
    <row r="118" spans="1:5" s="5" customFormat="1" ht="18" customHeight="1" x14ac:dyDescent="0.35">
      <c r="A118" s="10" t="s">
        <v>115</v>
      </c>
      <c r="B118" s="61">
        <f>SUM(B108:B117)</f>
        <v>53200</v>
      </c>
      <c r="C118" s="61">
        <f>SUM(C108:C117)</f>
        <v>42826.719999999994</v>
      </c>
      <c r="D118" s="61">
        <f>SUM(D108:D117)</f>
        <v>42400</v>
      </c>
      <c r="E118" s="42"/>
    </row>
    <row r="119" spans="1:5" s="5" customFormat="1" ht="18" customHeight="1" x14ac:dyDescent="0.35">
      <c r="A119" s="10"/>
      <c r="B119" s="2"/>
      <c r="C119" s="2"/>
      <c r="D119" s="76"/>
    </row>
    <row r="120" spans="1:5" s="5" customFormat="1" ht="18" customHeight="1" x14ac:dyDescent="0.35">
      <c r="A120" s="10" t="s">
        <v>116</v>
      </c>
      <c r="B120" s="2"/>
      <c r="C120" s="2"/>
      <c r="D120" s="76"/>
    </row>
    <row r="121" spans="1:5" s="5" customFormat="1" ht="18" customHeight="1" x14ac:dyDescent="0.35">
      <c r="A121" s="5" t="s">
        <v>117</v>
      </c>
      <c r="B121" s="63">
        <v>1155</v>
      </c>
      <c r="C121" s="63">
        <v>985</v>
      </c>
      <c r="D121" s="76">
        <v>1200</v>
      </c>
    </row>
    <row r="122" spans="1:5" s="5" customFormat="1" ht="18" customHeight="1" x14ac:dyDescent="0.35">
      <c r="A122" s="5" t="s">
        <v>118</v>
      </c>
      <c r="B122" s="63">
        <v>14500</v>
      </c>
      <c r="C122" s="63">
        <v>15784</v>
      </c>
      <c r="D122" s="76">
        <v>16000</v>
      </c>
    </row>
    <row r="123" spans="1:5" s="5" customFormat="1" ht="18" customHeight="1" x14ac:dyDescent="0.35">
      <c r="A123" s="5" t="s">
        <v>119</v>
      </c>
      <c r="B123" s="63">
        <v>1500</v>
      </c>
      <c r="C123" s="63">
        <v>1439.38</v>
      </c>
      <c r="D123" s="76">
        <v>1500</v>
      </c>
    </row>
    <row r="124" spans="1:5" s="5" customFormat="1" ht="18" customHeight="1" x14ac:dyDescent="0.35">
      <c r="A124" s="5" t="s">
        <v>120</v>
      </c>
      <c r="B124" s="63">
        <v>2000</v>
      </c>
      <c r="C124" s="63">
        <v>2746.58</v>
      </c>
      <c r="D124" s="76">
        <v>2900</v>
      </c>
    </row>
    <row r="125" spans="1:5" s="5" customFormat="1" ht="18" customHeight="1" x14ac:dyDescent="0.35">
      <c r="A125" s="5" t="s">
        <v>121</v>
      </c>
      <c r="B125" s="63">
        <v>4000</v>
      </c>
      <c r="C125" s="63">
        <v>4943.6899999999996</v>
      </c>
      <c r="D125" s="76">
        <v>5000</v>
      </c>
    </row>
    <row r="126" spans="1:5" s="5" customFormat="1" ht="18" customHeight="1" x14ac:dyDescent="0.35">
      <c r="A126" s="5" t="s">
        <v>122</v>
      </c>
      <c r="B126" s="63">
        <v>2500</v>
      </c>
      <c r="C126" s="63">
        <v>1730.14</v>
      </c>
      <c r="D126" s="76">
        <v>2000</v>
      </c>
    </row>
    <row r="127" spans="1:5" s="5" customFormat="1" ht="18" customHeight="1" x14ac:dyDescent="0.35">
      <c r="A127" s="5" t="s">
        <v>123</v>
      </c>
      <c r="B127" s="63">
        <v>50000</v>
      </c>
      <c r="C127" s="63">
        <v>50000</v>
      </c>
      <c r="D127" s="76">
        <v>50000</v>
      </c>
    </row>
    <row r="128" spans="1:5" s="5" customFormat="1" ht="18" customHeight="1" x14ac:dyDescent="0.35">
      <c r="A128" s="5" t="s">
        <v>124</v>
      </c>
      <c r="B128" s="63">
        <v>60000</v>
      </c>
      <c r="C128" s="63">
        <v>38523.39</v>
      </c>
      <c r="D128" s="76">
        <v>60000</v>
      </c>
    </row>
    <row r="129" spans="1:7" s="5" customFormat="1" ht="18" customHeight="1" x14ac:dyDescent="0.35">
      <c r="A129" s="10" t="s">
        <v>125</v>
      </c>
      <c r="B129" s="61">
        <f>SUM(B121:B128)</f>
        <v>135655</v>
      </c>
      <c r="C129" s="61">
        <f t="shared" ref="C129:D129" si="0">SUM(C121:C128)</f>
        <v>116152.18</v>
      </c>
      <c r="D129" s="61">
        <f t="shared" si="0"/>
        <v>138600</v>
      </c>
    </row>
    <row r="130" spans="1:7" s="5" customFormat="1" ht="18" customHeight="1" x14ac:dyDescent="0.35">
      <c r="A130" s="10"/>
      <c r="B130" s="2"/>
      <c r="C130" s="2"/>
      <c r="D130" s="76"/>
    </row>
    <row r="131" spans="1:7" s="5" customFormat="1" ht="18" customHeight="1" x14ac:dyDescent="0.35">
      <c r="A131" s="10" t="s">
        <v>126</v>
      </c>
      <c r="B131" s="2"/>
      <c r="C131" s="2"/>
      <c r="D131" s="76"/>
    </row>
    <row r="132" spans="1:7" s="5" customFormat="1" ht="18" customHeight="1" x14ac:dyDescent="0.35">
      <c r="A132" s="5" t="s">
        <v>127</v>
      </c>
      <c r="B132" s="63">
        <v>1000</v>
      </c>
      <c r="C132" s="63">
        <v>0</v>
      </c>
      <c r="D132" s="76">
        <v>1000</v>
      </c>
      <c r="E132" s="42"/>
      <c r="G132" s="56"/>
    </row>
    <row r="133" spans="1:7" s="5" customFormat="1" ht="18" customHeight="1" x14ac:dyDescent="0.35">
      <c r="A133" s="5" t="s">
        <v>128</v>
      </c>
      <c r="B133" s="63">
        <v>15000</v>
      </c>
      <c r="C133" s="63">
        <v>17597.73</v>
      </c>
      <c r="D133" s="76">
        <v>70000</v>
      </c>
      <c r="G133" s="56"/>
    </row>
    <row r="134" spans="1:7" s="5" customFormat="1" ht="18" customHeight="1" x14ac:dyDescent="0.35">
      <c r="A134" s="5" t="s">
        <v>129</v>
      </c>
      <c r="B134" s="63">
        <v>1000</v>
      </c>
      <c r="C134" s="63">
        <v>1436.24</v>
      </c>
      <c r="D134" s="76">
        <v>1500</v>
      </c>
    </row>
    <row r="135" spans="1:7" s="5" customFormat="1" ht="18" customHeight="1" x14ac:dyDescent="0.35">
      <c r="A135" s="5" t="s">
        <v>130</v>
      </c>
      <c r="B135" s="63">
        <v>5000</v>
      </c>
      <c r="C135" s="63">
        <v>4922.97</v>
      </c>
      <c r="D135" s="76">
        <v>5000</v>
      </c>
    </row>
    <row r="136" spans="1:7" s="5" customFormat="1" ht="18" customHeight="1" x14ac:dyDescent="0.35">
      <c r="A136" s="5" t="s">
        <v>131</v>
      </c>
      <c r="B136" s="63">
        <v>500</v>
      </c>
      <c r="C136" s="63">
        <v>479.97</v>
      </c>
      <c r="D136" s="76">
        <v>500</v>
      </c>
    </row>
    <row r="137" spans="1:7" s="5" customFormat="1" ht="18" customHeight="1" x14ac:dyDescent="0.35">
      <c r="A137" s="5" t="s">
        <v>132</v>
      </c>
      <c r="B137" s="63">
        <v>0</v>
      </c>
      <c r="C137" s="63">
        <v>1350</v>
      </c>
      <c r="D137" s="76"/>
    </row>
    <row r="138" spans="1:7" s="5" customFormat="1" ht="18" customHeight="1" x14ac:dyDescent="0.35">
      <c r="A138" s="10" t="s">
        <v>133</v>
      </c>
      <c r="B138" s="61">
        <f>SUM(B132:B137)</f>
        <v>22500</v>
      </c>
      <c r="C138" s="61">
        <f t="shared" ref="C138:D138" si="1">SUM(C132:C137)</f>
        <v>25786.910000000003</v>
      </c>
      <c r="D138" s="61">
        <f t="shared" si="1"/>
        <v>78000</v>
      </c>
    </row>
    <row r="139" spans="1:7" s="5" customFormat="1" ht="18" customHeight="1" x14ac:dyDescent="0.35">
      <c r="A139" s="10"/>
      <c r="B139" s="2"/>
      <c r="C139" s="2"/>
      <c r="D139" s="76"/>
    </row>
    <row r="140" spans="1:7" s="5" customFormat="1" ht="18" customHeight="1" x14ac:dyDescent="0.35">
      <c r="A140" s="10" t="s">
        <v>134</v>
      </c>
      <c r="B140" s="2"/>
      <c r="C140" s="2"/>
      <c r="D140" s="76"/>
    </row>
    <row r="141" spans="1:7" s="5" customFormat="1" ht="18" customHeight="1" x14ac:dyDescent="0.35">
      <c r="A141" s="5" t="s">
        <v>135</v>
      </c>
      <c r="B141" s="63">
        <v>300</v>
      </c>
      <c r="C141" s="63">
        <v>75</v>
      </c>
      <c r="D141" s="76">
        <v>300</v>
      </c>
    </row>
    <row r="142" spans="1:7" s="5" customFormat="1" ht="18" customHeight="1" x14ac:dyDescent="0.35">
      <c r="A142" s="5" t="s">
        <v>136</v>
      </c>
      <c r="B142" s="63">
        <v>1000</v>
      </c>
      <c r="C142" s="63">
        <v>1111</v>
      </c>
      <c r="D142" s="76">
        <v>1000</v>
      </c>
    </row>
    <row r="143" spans="1:7" s="5" customFormat="1" ht="18" customHeight="1" x14ac:dyDescent="0.35">
      <c r="A143" s="5" t="s">
        <v>137</v>
      </c>
      <c r="B143" s="63">
        <v>3100</v>
      </c>
      <c r="C143" s="63">
        <v>2900</v>
      </c>
      <c r="D143" s="76">
        <v>3500</v>
      </c>
      <c r="E143" s="5" t="s">
        <v>138</v>
      </c>
    </row>
    <row r="144" spans="1:7" s="5" customFormat="1" ht="18" customHeight="1" x14ac:dyDescent="0.35">
      <c r="A144" s="5" t="s">
        <v>139</v>
      </c>
      <c r="B144" s="63">
        <v>2200</v>
      </c>
      <c r="C144" s="63">
        <v>2221.6</v>
      </c>
      <c r="D144" s="76">
        <v>2300</v>
      </c>
    </row>
    <row r="145" spans="1:5" s="5" customFormat="1" ht="18" customHeight="1" x14ac:dyDescent="0.35">
      <c r="A145" s="10" t="s">
        <v>140</v>
      </c>
      <c r="B145" s="61">
        <f>SUM(B141:B144)</f>
        <v>6600</v>
      </c>
      <c r="C145" s="61">
        <f t="shared" ref="C145:D145" si="2">SUM(C141:C144)</f>
        <v>6307.6</v>
      </c>
      <c r="D145" s="61">
        <f t="shared" si="2"/>
        <v>7100</v>
      </c>
    </row>
    <row r="146" spans="1:5" s="5" customFormat="1" ht="18" customHeight="1" x14ac:dyDescent="0.35">
      <c r="A146" s="10"/>
      <c r="B146" s="2"/>
      <c r="C146" s="2"/>
      <c r="D146" s="76"/>
      <c r="E146" s="42"/>
    </row>
    <row r="147" spans="1:5" s="5" customFormat="1" ht="18" customHeight="1" x14ac:dyDescent="0.35">
      <c r="A147" s="10" t="s">
        <v>141</v>
      </c>
      <c r="B147" s="2"/>
      <c r="C147" s="2"/>
      <c r="D147" s="76"/>
      <c r="E147" s="42"/>
    </row>
    <row r="148" spans="1:5" s="5" customFormat="1" ht="18" customHeight="1" x14ac:dyDescent="0.35">
      <c r="A148" s="5" t="s">
        <v>142</v>
      </c>
      <c r="B148" s="82">
        <v>1000</v>
      </c>
      <c r="C148" s="82">
        <v>3582.18</v>
      </c>
      <c r="D148" s="76">
        <v>1000</v>
      </c>
      <c r="E148" s="42"/>
    </row>
    <row r="149" spans="1:5" s="5" customFormat="1" ht="18" customHeight="1" x14ac:dyDescent="0.35">
      <c r="A149" s="5" t="s">
        <v>143</v>
      </c>
      <c r="B149" s="82">
        <v>500</v>
      </c>
      <c r="C149" s="82">
        <v>0</v>
      </c>
      <c r="D149" s="76">
        <v>500</v>
      </c>
      <c r="E149" s="42"/>
    </row>
    <row r="150" spans="1:5" s="5" customFormat="1" ht="18" customHeight="1" x14ac:dyDescent="0.35">
      <c r="A150" s="5" t="s">
        <v>144</v>
      </c>
      <c r="B150" s="82">
        <v>6000</v>
      </c>
      <c r="C150" s="82">
        <v>4853.2</v>
      </c>
      <c r="D150" s="76">
        <v>6000</v>
      </c>
      <c r="E150" s="42"/>
    </row>
    <row r="151" spans="1:5" s="5" customFormat="1" ht="18" customHeight="1" x14ac:dyDescent="0.35">
      <c r="A151" s="5" t="s">
        <v>145</v>
      </c>
      <c r="B151" s="82"/>
      <c r="C151" s="82">
        <v>652</v>
      </c>
      <c r="D151" s="76">
        <v>700</v>
      </c>
      <c r="E151" s="42"/>
    </row>
    <row r="152" spans="1:5" s="5" customFormat="1" ht="18" customHeight="1" x14ac:dyDescent="0.35">
      <c r="A152" s="5" t="s">
        <v>146</v>
      </c>
      <c r="B152" s="82">
        <v>4000</v>
      </c>
      <c r="C152" s="82">
        <v>4862.58</v>
      </c>
      <c r="D152" s="76">
        <v>4600</v>
      </c>
      <c r="E152" s="42"/>
    </row>
    <row r="153" spans="1:5" s="5" customFormat="1" ht="18" customHeight="1" x14ac:dyDescent="0.35">
      <c r="A153" s="10" t="s">
        <v>147</v>
      </c>
      <c r="B153" s="61">
        <f>SUM(B148:B152)</f>
        <v>11500</v>
      </c>
      <c r="C153" s="61">
        <f t="shared" ref="C153:D153" si="3">SUM(C148:C152)</f>
        <v>13949.96</v>
      </c>
      <c r="D153" s="61">
        <f t="shared" si="3"/>
        <v>12800</v>
      </c>
      <c r="E153" s="42"/>
    </row>
    <row r="154" spans="1:5" s="5" customFormat="1" ht="18" customHeight="1" x14ac:dyDescent="0.35">
      <c r="A154" s="10"/>
      <c r="B154" s="2"/>
      <c r="C154" s="2"/>
      <c r="D154" s="76"/>
      <c r="E154" s="42"/>
    </row>
    <row r="155" spans="1:5" s="5" customFormat="1" ht="18" customHeight="1" x14ac:dyDescent="0.35">
      <c r="A155" s="10" t="s">
        <v>148</v>
      </c>
      <c r="B155" s="2"/>
      <c r="C155" s="2"/>
      <c r="D155" s="76"/>
      <c r="E155" s="42"/>
    </row>
    <row r="156" spans="1:5" s="5" customFormat="1" ht="18" customHeight="1" x14ac:dyDescent="0.35">
      <c r="A156" s="5" t="s">
        <v>149</v>
      </c>
      <c r="B156" s="2"/>
      <c r="C156" s="82">
        <v>507.5</v>
      </c>
      <c r="D156" s="76">
        <v>1200</v>
      </c>
      <c r="E156" s="42"/>
    </row>
    <row r="157" spans="1:5" s="5" customFormat="1" ht="18" customHeight="1" x14ac:dyDescent="0.35">
      <c r="A157" s="5" t="s">
        <v>150</v>
      </c>
      <c r="B157" s="2"/>
      <c r="C157" s="82"/>
      <c r="D157" s="76">
        <v>3450</v>
      </c>
      <c r="E157" s="42"/>
    </row>
    <row r="158" spans="1:5" s="5" customFormat="1" ht="18" customHeight="1" x14ac:dyDescent="0.35">
      <c r="A158" s="5" t="s">
        <v>151</v>
      </c>
      <c r="B158" s="2"/>
      <c r="C158" s="82">
        <v>43.33</v>
      </c>
      <c r="D158" s="76">
        <v>1700</v>
      </c>
      <c r="E158" s="42"/>
    </row>
    <row r="159" spans="1:5" s="5" customFormat="1" ht="18" customHeight="1" x14ac:dyDescent="0.35">
      <c r="A159" s="5" t="s">
        <v>152</v>
      </c>
      <c r="B159" s="2"/>
      <c r="C159" s="82">
        <v>1663.99</v>
      </c>
      <c r="D159" s="76">
        <v>1000</v>
      </c>
      <c r="E159" s="42"/>
    </row>
    <row r="160" spans="1:5" s="5" customFormat="1" ht="18" customHeight="1" x14ac:dyDescent="0.35">
      <c r="A160" s="5" t="s">
        <v>153</v>
      </c>
      <c r="B160" s="2"/>
      <c r="C160" s="82"/>
      <c r="D160" s="76">
        <v>1000</v>
      </c>
      <c r="E160" s="42"/>
    </row>
    <row r="161" spans="1:6" s="5" customFormat="1" ht="18" customHeight="1" x14ac:dyDescent="0.35">
      <c r="A161" s="5" t="s">
        <v>154</v>
      </c>
      <c r="B161" s="2"/>
      <c r="C161" s="82"/>
      <c r="D161" s="76">
        <v>750</v>
      </c>
      <c r="E161" s="42"/>
    </row>
    <row r="162" spans="1:6" s="5" customFormat="1" ht="18" customHeight="1" x14ac:dyDescent="0.35">
      <c r="A162" s="5" t="s">
        <v>155</v>
      </c>
      <c r="B162" s="2"/>
      <c r="C162" s="82">
        <v>4261.1099999999997</v>
      </c>
      <c r="D162" s="76">
        <v>7000</v>
      </c>
      <c r="E162" s="42"/>
    </row>
    <row r="163" spans="1:6" s="5" customFormat="1" ht="18" customHeight="1" x14ac:dyDescent="0.35">
      <c r="A163" s="5" t="s">
        <v>156</v>
      </c>
      <c r="B163" s="2"/>
      <c r="C163" s="82"/>
      <c r="D163" s="76">
        <v>1000</v>
      </c>
      <c r="E163" s="42"/>
    </row>
    <row r="164" spans="1:6" s="5" customFormat="1" ht="18" customHeight="1" x14ac:dyDescent="0.35">
      <c r="A164" s="10" t="s">
        <v>157</v>
      </c>
      <c r="B164" s="2"/>
      <c r="C164" s="61">
        <f>SUM(C156:C162)</f>
        <v>6475.93</v>
      </c>
      <c r="D164" s="61">
        <f>SUM(D156:D163)</f>
        <v>17100</v>
      </c>
      <c r="E164" s="42"/>
    </row>
    <row r="165" spans="1:6" s="5" customFormat="1" ht="18" customHeight="1" x14ac:dyDescent="0.35">
      <c r="A165" s="10"/>
      <c r="B165" s="2"/>
      <c r="C165" s="2"/>
      <c r="D165" s="76"/>
      <c r="E165" s="42"/>
    </row>
    <row r="166" spans="1:6" s="5" customFormat="1" ht="18" customHeight="1" x14ac:dyDescent="0.35">
      <c r="A166" s="10" t="s">
        <v>158</v>
      </c>
      <c r="B166" s="2"/>
      <c r="C166" s="2"/>
      <c r="D166" s="76"/>
      <c r="E166" s="42"/>
    </row>
    <row r="167" spans="1:6" s="5" customFormat="1" ht="18" customHeight="1" x14ac:dyDescent="0.35">
      <c r="A167" s="5" t="s">
        <v>159</v>
      </c>
      <c r="B167" s="63">
        <v>30000</v>
      </c>
      <c r="C167" s="63">
        <v>30000</v>
      </c>
      <c r="D167" s="76">
        <v>30900</v>
      </c>
      <c r="E167" s="42"/>
    </row>
    <row r="168" spans="1:6" s="5" customFormat="1" ht="18" customHeight="1" x14ac:dyDescent="0.35">
      <c r="A168" s="5" t="s">
        <v>160</v>
      </c>
      <c r="B168" s="63">
        <v>5500</v>
      </c>
      <c r="C168" s="63">
        <v>5500</v>
      </c>
      <c r="D168" s="76">
        <v>25000</v>
      </c>
    </row>
    <row r="169" spans="1:6" s="5" customFormat="1" ht="18" customHeight="1" x14ac:dyDescent="0.35">
      <c r="A169" s="5" t="s">
        <v>161</v>
      </c>
      <c r="B169" s="63">
        <v>99270</v>
      </c>
      <c r="C169" s="63">
        <v>99270</v>
      </c>
      <c r="D169" s="76">
        <v>99270</v>
      </c>
    </row>
    <row r="170" spans="1:6" s="5" customFormat="1" ht="18" customHeight="1" x14ac:dyDescent="0.35">
      <c r="A170" s="5" t="s">
        <v>162</v>
      </c>
      <c r="B170" s="63">
        <v>1000</v>
      </c>
      <c r="C170" s="63">
        <v>0</v>
      </c>
      <c r="D170" s="76">
        <v>1000</v>
      </c>
    </row>
    <row r="171" spans="1:6" s="5" customFormat="1" ht="18" customHeight="1" x14ac:dyDescent="0.35">
      <c r="A171" s="5" t="s">
        <v>163</v>
      </c>
      <c r="B171" s="63"/>
      <c r="C171" s="63">
        <v>2803.19</v>
      </c>
      <c r="D171" s="76"/>
    </row>
    <row r="172" spans="1:6" s="5" customFormat="1" ht="18" customHeight="1" x14ac:dyDescent="0.35">
      <c r="A172" s="5" t="s">
        <v>164</v>
      </c>
      <c r="B172" s="63">
        <v>14400</v>
      </c>
      <c r="C172" s="63">
        <v>15427.88</v>
      </c>
      <c r="D172" s="76">
        <v>13000</v>
      </c>
    </row>
    <row r="173" spans="1:6" s="5" customFormat="1" ht="18" customHeight="1" x14ac:dyDescent="0.35">
      <c r="A173" s="5" t="s">
        <v>165</v>
      </c>
      <c r="B173" s="63">
        <v>50</v>
      </c>
      <c r="C173" s="63">
        <v>50</v>
      </c>
      <c r="D173" s="76">
        <v>50</v>
      </c>
    </row>
    <row r="174" spans="1:6" s="5" customFormat="1" ht="18" customHeight="1" x14ac:dyDescent="0.35">
      <c r="A174" s="5" t="s">
        <v>166</v>
      </c>
      <c r="B174" s="63">
        <v>41545.730000000003</v>
      </c>
      <c r="C174" s="63">
        <v>41545.730000000003</v>
      </c>
      <c r="D174" s="76">
        <v>41545.730000000003</v>
      </c>
      <c r="F174" s="20"/>
    </row>
    <row r="175" spans="1:6" s="5" customFormat="1" ht="18" customHeight="1" x14ac:dyDescent="0.35">
      <c r="A175" s="5" t="s">
        <v>167</v>
      </c>
      <c r="B175" s="63">
        <v>4857</v>
      </c>
      <c r="C175" s="63">
        <v>8491.5499999999993</v>
      </c>
      <c r="D175" s="76">
        <v>8500</v>
      </c>
      <c r="E175" s="10"/>
    </row>
    <row r="176" spans="1:6" s="5" customFormat="1" ht="18" customHeight="1" x14ac:dyDescent="0.35">
      <c r="A176" s="5" t="s">
        <v>168</v>
      </c>
      <c r="B176" s="63">
        <v>500</v>
      </c>
      <c r="C176" s="63">
        <v>133.22999999999999</v>
      </c>
      <c r="D176" s="76">
        <v>1000</v>
      </c>
      <c r="E176" s="10"/>
    </row>
    <row r="177" spans="1:6" s="5" customFormat="1" ht="18" customHeight="1" x14ac:dyDescent="0.35">
      <c r="A177" s="5" t="s">
        <v>169</v>
      </c>
      <c r="B177" s="63">
        <v>6700</v>
      </c>
      <c r="C177" s="63">
        <v>6718.99</v>
      </c>
      <c r="D177" s="76">
        <v>6700</v>
      </c>
      <c r="E177" s="5" t="s">
        <v>170</v>
      </c>
    </row>
    <row r="178" spans="1:6" s="5" customFormat="1" ht="18" customHeight="1" x14ac:dyDescent="0.35">
      <c r="A178" s="5" t="s">
        <v>171</v>
      </c>
      <c r="B178" s="63">
        <v>9000</v>
      </c>
      <c r="C178" s="63">
        <v>9592.25</v>
      </c>
      <c r="D178" s="76">
        <v>9000</v>
      </c>
      <c r="F178" s="20"/>
    </row>
    <row r="179" spans="1:6" s="5" customFormat="1" ht="18" customHeight="1" x14ac:dyDescent="0.35">
      <c r="A179" s="5" t="s">
        <v>172</v>
      </c>
      <c r="B179" s="63">
        <v>5000</v>
      </c>
      <c r="C179" s="63">
        <v>25505.78</v>
      </c>
      <c r="D179" s="76">
        <v>10000</v>
      </c>
    </row>
    <row r="180" spans="1:6" s="5" customFormat="1" ht="18" customHeight="1" x14ac:dyDescent="0.35">
      <c r="A180" s="5" t="s">
        <v>173</v>
      </c>
      <c r="B180" s="63">
        <v>1000</v>
      </c>
      <c r="C180" s="63"/>
      <c r="D180" s="76"/>
    </row>
    <row r="181" spans="1:6" s="5" customFormat="1" ht="18" customHeight="1" x14ac:dyDescent="0.35">
      <c r="A181" s="5" t="s">
        <v>174</v>
      </c>
      <c r="B181" s="63">
        <v>10000</v>
      </c>
      <c r="C181" s="63"/>
      <c r="D181" s="76"/>
    </row>
    <row r="182" spans="1:6" s="5" customFormat="1" ht="18" customHeight="1" x14ac:dyDescent="0.35">
      <c r="A182" s="5" t="s">
        <v>175</v>
      </c>
      <c r="B182" s="63"/>
      <c r="C182" s="63">
        <v>10000</v>
      </c>
      <c r="D182" s="76"/>
    </row>
    <row r="183" spans="1:6" s="5" customFormat="1" ht="18" customHeight="1" x14ac:dyDescent="0.35">
      <c r="A183" s="5" t="s">
        <v>176</v>
      </c>
      <c r="B183" s="63"/>
      <c r="C183" s="63">
        <v>12742</v>
      </c>
      <c r="D183" s="76"/>
    </row>
    <row r="184" spans="1:6" s="5" customFormat="1" ht="18" customHeight="1" x14ac:dyDescent="0.35">
      <c r="A184" s="5" t="s">
        <v>177</v>
      </c>
      <c r="B184" s="63">
        <v>0</v>
      </c>
      <c r="C184" s="63">
        <v>752.5</v>
      </c>
      <c r="D184" s="76"/>
    </row>
    <row r="185" spans="1:6" s="5" customFormat="1" ht="18" customHeight="1" x14ac:dyDescent="0.35">
      <c r="A185" s="5" t="s">
        <v>178</v>
      </c>
      <c r="B185" s="63">
        <v>3000</v>
      </c>
      <c r="C185" s="63">
        <v>410</v>
      </c>
      <c r="D185" s="76">
        <v>1000</v>
      </c>
    </row>
    <row r="186" spans="1:6" s="5" customFormat="1" ht="18" customHeight="1" x14ac:dyDescent="0.35">
      <c r="A186" s="5" t="s">
        <v>179</v>
      </c>
      <c r="B186" s="63">
        <v>3200</v>
      </c>
      <c r="C186" s="63">
        <v>3200</v>
      </c>
      <c r="D186" s="76">
        <v>4000</v>
      </c>
      <c r="E186" s="20"/>
    </row>
    <row r="187" spans="1:6" s="5" customFormat="1" ht="18" customHeight="1" x14ac:dyDescent="0.35">
      <c r="A187" s="5" t="s">
        <v>180</v>
      </c>
      <c r="B187" s="63">
        <v>9000</v>
      </c>
      <c r="C187" s="63">
        <v>20034.84</v>
      </c>
      <c r="D187" s="76">
        <v>10000</v>
      </c>
    </row>
    <row r="188" spans="1:6" s="5" customFormat="1" ht="18" customHeight="1" x14ac:dyDescent="0.35">
      <c r="A188" s="5" t="s">
        <v>181</v>
      </c>
      <c r="B188" s="63">
        <v>100</v>
      </c>
      <c r="C188" s="63">
        <v>64.3</v>
      </c>
      <c r="D188" s="76">
        <v>100</v>
      </c>
    </row>
    <row r="189" spans="1:6" s="5" customFormat="1" ht="18" customHeight="1" x14ac:dyDescent="0.35">
      <c r="A189" s="5" t="s">
        <v>182</v>
      </c>
      <c r="B189" s="63"/>
      <c r="C189" s="63">
        <v>7356.5</v>
      </c>
      <c r="D189" s="76">
        <v>33573.5</v>
      </c>
    </row>
    <row r="190" spans="1:6" s="5" customFormat="1" ht="18" customHeight="1" x14ac:dyDescent="0.35">
      <c r="A190" s="5" t="s">
        <v>183</v>
      </c>
      <c r="B190" s="63"/>
      <c r="C190" s="63">
        <v>42802</v>
      </c>
      <c r="D190" s="76"/>
    </row>
    <row r="191" spans="1:6" s="5" customFormat="1" ht="18" customHeight="1" x14ac:dyDescent="0.35">
      <c r="A191" s="10" t="s">
        <v>184</v>
      </c>
      <c r="B191" s="61">
        <f>SUM(B167:B188)</f>
        <v>244122.73</v>
      </c>
      <c r="C191" s="61">
        <f>SUM(C167:C190)</f>
        <v>342400.74</v>
      </c>
      <c r="D191" s="61">
        <f>SUM(D167:D190)</f>
        <v>294639.23</v>
      </c>
    </row>
    <row r="192" spans="1:6" s="5" customFormat="1" ht="18" customHeight="1" x14ac:dyDescent="0.35">
      <c r="A192" s="10"/>
      <c r="B192" s="2"/>
      <c r="C192" s="2"/>
      <c r="D192" s="76"/>
    </row>
    <row r="193" spans="1:6" s="5" customFormat="1" ht="18" customHeight="1" x14ac:dyDescent="0.35">
      <c r="A193" s="10" t="s">
        <v>185</v>
      </c>
      <c r="B193" s="61">
        <f t="shared" ref="B193:C193" si="4">B191+B164+B153+B145+B138+B129+B118+B105+B84</f>
        <v>905932.92</v>
      </c>
      <c r="C193" s="61">
        <f t="shared" si="4"/>
        <v>965677.93000000017</v>
      </c>
      <c r="D193" s="61">
        <f>D191+D164+D153+D145+D138+D129+D118+D105+D84</f>
        <v>1031542.8331086</v>
      </c>
    </row>
    <row r="194" spans="1:6" s="5" customFormat="1" ht="18" customHeight="1" x14ac:dyDescent="0.35">
      <c r="A194" s="10"/>
      <c r="B194" s="61"/>
      <c r="C194" s="61"/>
      <c r="D194" s="76"/>
    </row>
    <row r="195" spans="1:6" s="5" customFormat="1" ht="18" customHeight="1" x14ac:dyDescent="0.35">
      <c r="B195" s="2"/>
      <c r="C195" s="2"/>
      <c r="D195" s="76"/>
    </row>
    <row r="196" spans="1:6" ht="18" customHeight="1" x14ac:dyDescent="0.35">
      <c r="A196" s="5"/>
    </row>
    <row r="197" spans="1:6" ht="18" customHeight="1" x14ac:dyDescent="0.35">
      <c r="A197" s="5" t="s">
        <v>186</v>
      </c>
      <c r="B197" s="1"/>
      <c r="C197" s="3">
        <f>C56</f>
        <v>1077884.17</v>
      </c>
      <c r="D197" s="3">
        <f>D56</f>
        <v>1031542.8331086</v>
      </c>
    </row>
    <row r="198" spans="1:6" ht="18" customHeight="1" x14ac:dyDescent="0.35">
      <c r="A198" s="5" t="s">
        <v>187</v>
      </c>
      <c r="B198" s="1"/>
      <c r="C198" s="89">
        <f>C193</f>
        <v>965677.93000000017</v>
      </c>
      <c r="D198" s="89">
        <f>D193</f>
        <v>1031542.8331086</v>
      </c>
    </row>
    <row r="199" spans="1:6" ht="18" customHeight="1" thickBot="1" x14ac:dyDescent="0.4">
      <c r="A199" s="10" t="s">
        <v>188</v>
      </c>
      <c r="B199" s="1"/>
      <c r="C199" s="91">
        <f>C197-C198</f>
        <v>112206.23999999976</v>
      </c>
      <c r="D199" s="91">
        <f>D197-D198</f>
        <v>0</v>
      </c>
    </row>
    <row r="200" spans="1:6" ht="18" customHeight="1" thickTop="1" x14ac:dyDescent="0.35">
      <c r="A200" s="5" t="s">
        <v>189</v>
      </c>
      <c r="B200" s="1"/>
      <c r="C200" s="90"/>
      <c r="D200" s="90"/>
    </row>
    <row r="201" spans="1:6" ht="18" customHeight="1" x14ac:dyDescent="0.35">
      <c r="A201" s="10" t="s">
        <v>190</v>
      </c>
      <c r="B201" s="1"/>
      <c r="C201" s="83"/>
      <c r="D201" s="83"/>
    </row>
    <row r="202" spans="1:6" ht="18" customHeight="1" x14ac:dyDescent="0.35">
      <c r="B202" s="83"/>
    </row>
    <row r="204" spans="1:6" ht="18" customHeight="1" x14ac:dyDescent="0.35">
      <c r="F204" s="3"/>
    </row>
  </sheetData>
  <pageMargins left="0.75" right="0.25" top="0.5" bottom="0.5" header="0.3" footer="0.3"/>
  <pageSetup scale="85" fitToHeight="0" orientation="portrait" horizontalDpi="300" verticalDpi="300" r:id="rId1"/>
  <rowBreaks count="4" manualBreakCount="4">
    <brk id="45" max="3" man="1"/>
    <brk id="85" max="3" man="1"/>
    <brk id="119" max="3" man="1"/>
    <brk id="161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8BA1-A962-4364-A302-8F31C48AB1CA}">
  <dimension ref="A2:E20"/>
  <sheetViews>
    <sheetView workbookViewId="0">
      <selection activeCell="D4" sqref="D4"/>
    </sheetView>
  </sheetViews>
  <sheetFormatPr defaultRowHeight="14.4" x14ac:dyDescent="0.3"/>
  <cols>
    <col min="1" max="1" width="63.44140625" customWidth="1"/>
    <col min="2" max="3" width="18.109375" bestFit="1" customWidth="1"/>
    <col min="4" max="4" width="16" bestFit="1" customWidth="1"/>
  </cols>
  <sheetData>
    <row r="2" spans="1:5" s="5" customFormat="1" ht="18" x14ac:dyDescent="0.35">
      <c r="B2" s="38"/>
      <c r="C2" s="38"/>
      <c r="D2" s="38"/>
    </row>
    <row r="3" spans="1:5" s="5" customFormat="1" ht="18" x14ac:dyDescent="0.35">
      <c r="A3" s="10" t="s">
        <v>191</v>
      </c>
      <c r="B3" s="78">
        <v>2025</v>
      </c>
      <c r="C3" s="78">
        <v>2026</v>
      </c>
      <c r="D3" s="38"/>
      <c r="E3" s="10" t="s">
        <v>192</v>
      </c>
    </row>
    <row r="4" spans="1:5" s="5" customFormat="1" ht="18" x14ac:dyDescent="0.35">
      <c r="A4" s="5" t="s">
        <v>193</v>
      </c>
      <c r="B4" s="41">
        <v>1700</v>
      </c>
      <c r="C4" s="41">
        <v>1700</v>
      </c>
      <c r="D4" s="5" t="s">
        <v>194</v>
      </c>
    </row>
    <row r="5" spans="1:5" s="5" customFormat="1" ht="18" x14ac:dyDescent="0.35">
      <c r="A5" s="5" t="s">
        <v>195</v>
      </c>
      <c r="B5" s="41">
        <v>2600</v>
      </c>
      <c r="C5" s="41">
        <v>2600</v>
      </c>
      <c r="D5" s="5" t="s">
        <v>194</v>
      </c>
    </row>
    <row r="6" spans="1:5" s="5" customFormat="1" ht="18" x14ac:dyDescent="0.35">
      <c r="A6" s="5" t="s">
        <v>196</v>
      </c>
      <c r="B6" s="41">
        <v>500</v>
      </c>
      <c r="C6" s="41">
        <v>500</v>
      </c>
      <c r="D6" s="5" t="s">
        <v>194</v>
      </c>
    </row>
    <row r="7" spans="1:5" s="5" customFormat="1" ht="18" x14ac:dyDescent="0.35">
      <c r="A7" s="5" t="s">
        <v>197</v>
      </c>
      <c r="B7" s="41">
        <v>2196</v>
      </c>
      <c r="C7" s="41">
        <v>2196</v>
      </c>
      <c r="D7" s="5" t="s">
        <v>194</v>
      </c>
    </row>
    <row r="8" spans="1:5" s="5" customFormat="1" ht="18" x14ac:dyDescent="0.35">
      <c r="A8" s="5" t="s">
        <v>198</v>
      </c>
      <c r="B8" s="41">
        <v>2306</v>
      </c>
      <c r="C8" s="41">
        <v>2306</v>
      </c>
      <c r="D8" s="5" t="s">
        <v>194</v>
      </c>
    </row>
    <row r="9" spans="1:5" s="5" customFormat="1" ht="18" x14ac:dyDescent="0.35">
      <c r="A9" s="5" t="s">
        <v>199</v>
      </c>
      <c r="B9" s="41">
        <v>750</v>
      </c>
      <c r="C9" s="41">
        <v>750</v>
      </c>
      <c r="D9" s="5" t="s">
        <v>194</v>
      </c>
    </row>
    <row r="10" spans="1:5" s="5" customFormat="1" ht="18" x14ac:dyDescent="0.35">
      <c r="A10" s="5" t="s">
        <v>200</v>
      </c>
      <c r="B10" s="41">
        <v>500</v>
      </c>
      <c r="C10" s="41">
        <v>500</v>
      </c>
      <c r="D10" s="5" t="s">
        <v>194</v>
      </c>
    </row>
    <row r="11" spans="1:5" s="5" customFormat="1" ht="18" x14ac:dyDescent="0.35">
      <c r="A11" s="5" t="s">
        <v>201</v>
      </c>
      <c r="B11" s="41">
        <v>28000</v>
      </c>
      <c r="C11" s="41">
        <v>28000</v>
      </c>
      <c r="D11" s="5" t="s">
        <v>194</v>
      </c>
    </row>
    <row r="12" spans="1:5" s="5" customFormat="1" ht="18" x14ac:dyDescent="0.35">
      <c r="A12" s="5" t="s">
        <v>202</v>
      </c>
      <c r="B12" s="41">
        <v>1800</v>
      </c>
      <c r="C12" s="41">
        <v>1800</v>
      </c>
      <c r="D12" s="5" t="s">
        <v>194</v>
      </c>
    </row>
    <row r="13" spans="1:5" s="5" customFormat="1" ht="18" x14ac:dyDescent="0.35">
      <c r="A13" s="5" t="s">
        <v>203</v>
      </c>
      <c r="B13" s="41"/>
      <c r="C13" s="41">
        <v>5000</v>
      </c>
      <c r="D13" s="5" t="s">
        <v>194</v>
      </c>
    </row>
    <row r="14" spans="1:5" s="5" customFormat="1" ht="18" x14ac:dyDescent="0.35">
      <c r="A14" s="5" t="s">
        <v>204</v>
      </c>
      <c r="B14" s="41">
        <v>1200</v>
      </c>
      <c r="C14" s="41">
        <v>1200</v>
      </c>
      <c r="D14" s="5" t="s">
        <v>194</v>
      </c>
    </row>
    <row r="15" spans="1:5" s="5" customFormat="1" ht="18" x14ac:dyDescent="0.35">
      <c r="A15" s="5" t="s">
        <v>205</v>
      </c>
      <c r="B15" s="41">
        <v>1000</v>
      </c>
      <c r="C15" s="41">
        <v>1000</v>
      </c>
      <c r="D15" s="5" t="s">
        <v>194</v>
      </c>
    </row>
    <row r="16" spans="1:5" s="5" customFormat="1" ht="18" x14ac:dyDescent="0.35">
      <c r="A16" s="5" t="s">
        <v>206</v>
      </c>
      <c r="B16" s="41">
        <v>250</v>
      </c>
      <c r="C16" s="41">
        <v>250</v>
      </c>
      <c r="D16" s="5" t="s">
        <v>194</v>
      </c>
    </row>
    <row r="17" spans="1:5" s="5" customFormat="1" ht="15" customHeight="1" thickBot="1" x14ac:dyDescent="0.4">
      <c r="A17" s="10"/>
      <c r="B17" s="51">
        <f>SUM(B4:B16)</f>
        <v>42802</v>
      </c>
      <c r="C17" s="51">
        <f>SUM(C4:C16)</f>
        <v>47802</v>
      </c>
      <c r="D17" s="51"/>
      <c r="E17" s="5" t="s">
        <v>207</v>
      </c>
    </row>
    <row r="18" spans="1:5" s="5" customFormat="1" ht="15" customHeight="1" thickTop="1" x14ac:dyDescent="0.35">
      <c r="A18" s="10"/>
      <c r="B18" s="37"/>
      <c r="C18" s="37"/>
      <c r="D18" s="37"/>
    </row>
    <row r="19" spans="1:5" s="5" customFormat="1" ht="18.600000000000001" thickBot="1" x14ac:dyDescent="0.4">
      <c r="A19" s="10" t="s">
        <v>208</v>
      </c>
      <c r="B19" s="51"/>
      <c r="C19" s="51">
        <f>C17+'General Fund Budget'!D193</f>
        <v>1079344.8331086</v>
      </c>
      <c r="D19" s="51"/>
    </row>
    <row r="20" spans="1:5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7419-4E49-41B4-93F0-4EAC0C8EC0B2}">
  <dimension ref="A1:F133"/>
  <sheetViews>
    <sheetView zoomScaleNormal="100" workbookViewId="0">
      <pane ySplit="3" topLeftCell="A111" activePane="bottomLeft" state="frozen"/>
      <selection pane="bottomLeft" activeCell="D116" sqref="D116"/>
    </sheetView>
  </sheetViews>
  <sheetFormatPr defaultColWidth="8.88671875" defaultRowHeight="18" x14ac:dyDescent="0.35"/>
  <cols>
    <col min="1" max="1" width="57.109375" style="5" customWidth="1"/>
    <col min="2" max="3" width="18.33203125" style="5" bestFit="1" customWidth="1"/>
    <col min="4" max="4" width="18.88671875" style="5" bestFit="1" customWidth="1"/>
    <col min="5" max="5" width="10.88671875" style="5" hidden="1" customWidth="1"/>
    <col min="6" max="6" width="74.5546875" style="5" customWidth="1"/>
    <col min="7" max="16384" width="8.88671875" style="5"/>
  </cols>
  <sheetData>
    <row r="1" spans="1:6" ht="21" x14ac:dyDescent="0.4">
      <c r="A1" s="64" t="s">
        <v>209</v>
      </c>
    </row>
    <row r="2" spans="1:6" ht="6" customHeight="1" x14ac:dyDescent="0.35"/>
    <row r="3" spans="1:6" ht="43.2" customHeight="1" x14ac:dyDescent="0.35">
      <c r="A3" s="10" t="s">
        <v>2</v>
      </c>
      <c r="B3" s="55" t="s">
        <v>3</v>
      </c>
      <c r="C3" s="65" t="s">
        <v>210</v>
      </c>
      <c r="D3" s="65" t="s">
        <v>211</v>
      </c>
      <c r="E3" s="10"/>
    </row>
    <row r="4" spans="1:6" x14ac:dyDescent="0.35">
      <c r="A4" s="10" t="s">
        <v>212</v>
      </c>
      <c r="B4" s="20"/>
      <c r="C4" s="20"/>
      <c r="D4" s="20"/>
      <c r="F4" s="20" t="s">
        <v>213</v>
      </c>
    </row>
    <row r="5" spans="1:6" x14ac:dyDescent="0.35">
      <c r="A5" s="5" t="s">
        <v>214</v>
      </c>
      <c r="B5" s="66">
        <v>1283289.01</v>
      </c>
      <c r="C5" s="66">
        <v>1283289.01</v>
      </c>
      <c r="D5" s="6">
        <f>D126-F27</f>
        <v>1289222.2127868</v>
      </c>
      <c r="F5" s="67">
        <f>(D5-B5)/B5</f>
        <v>4.6234345814275971E-3</v>
      </c>
    </row>
    <row r="6" spans="1:6" x14ac:dyDescent="0.35">
      <c r="A6" s="5" t="s">
        <v>190</v>
      </c>
      <c r="B6" s="66">
        <v>206752.59</v>
      </c>
      <c r="C6" s="66"/>
      <c r="D6" s="6"/>
      <c r="F6" s="20"/>
    </row>
    <row r="7" spans="1:6" x14ac:dyDescent="0.35">
      <c r="A7" s="5" t="s">
        <v>215</v>
      </c>
      <c r="B7" s="66">
        <v>35000</v>
      </c>
      <c r="C7" s="66">
        <v>35274.269999999997</v>
      </c>
      <c r="D7" s="6">
        <f>2*C7</f>
        <v>70548.539999999994</v>
      </c>
    </row>
    <row r="8" spans="1:6" x14ac:dyDescent="0.35">
      <c r="A8" s="5" t="s">
        <v>216</v>
      </c>
      <c r="B8" s="66">
        <v>73000</v>
      </c>
      <c r="C8" s="66">
        <v>74894.009999999995</v>
      </c>
      <c r="D8" s="6">
        <f>2*C8</f>
        <v>149788.01999999999</v>
      </c>
    </row>
    <row r="9" spans="1:6" x14ac:dyDescent="0.35">
      <c r="A9" s="5" t="s">
        <v>217</v>
      </c>
      <c r="B9" s="66">
        <v>102000</v>
      </c>
      <c r="C9" s="66">
        <v>72732.5</v>
      </c>
      <c r="D9" s="6">
        <v>70000</v>
      </c>
    </row>
    <row r="10" spans="1:6" x14ac:dyDescent="0.35">
      <c r="A10" s="5" t="s">
        <v>218</v>
      </c>
      <c r="B10" s="66">
        <v>47250</v>
      </c>
      <c r="C10" s="66">
        <v>57232.49</v>
      </c>
      <c r="D10" s="6">
        <v>7640.45</v>
      </c>
      <c r="F10" s="5" t="s">
        <v>219</v>
      </c>
    </row>
    <row r="11" spans="1:6" x14ac:dyDescent="0.35">
      <c r="A11" s="5" t="s">
        <v>220</v>
      </c>
      <c r="B11" s="66">
        <v>0</v>
      </c>
      <c r="C11" s="66"/>
      <c r="D11" s="6">
        <v>0</v>
      </c>
    </row>
    <row r="12" spans="1:6" x14ac:dyDescent="0.35">
      <c r="A12" s="5" t="s">
        <v>221</v>
      </c>
      <c r="B12" s="66">
        <v>40200</v>
      </c>
      <c r="C12" s="66">
        <v>69320.56</v>
      </c>
      <c r="D12" s="6">
        <v>0</v>
      </c>
    </row>
    <row r="13" spans="1:6" x14ac:dyDescent="0.35">
      <c r="A13" s="5" t="s">
        <v>222</v>
      </c>
      <c r="B13" s="66"/>
      <c r="C13" s="66"/>
      <c r="D13" s="6">
        <v>0</v>
      </c>
    </row>
    <row r="14" spans="1:6" x14ac:dyDescent="0.35">
      <c r="A14" s="5" t="s">
        <v>223</v>
      </c>
      <c r="B14" s="66"/>
      <c r="C14" s="66"/>
      <c r="D14" s="6">
        <v>36000</v>
      </c>
    </row>
    <row r="15" spans="1:6" x14ac:dyDescent="0.35">
      <c r="A15" s="5" t="s">
        <v>224</v>
      </c>
      <c r="B15" s="66">
        <v>0</v>
      </c>
      <c r="C15" s="66"/>
      <c r="D15" s="6">
        <v>0</v>
      </c>
    </row>
    <row r="16" spans="1:6" x14ac:dyDescent="0.35">
      <c r="A16" s="5" t="s">
        <v>225</v>
      </c>
      <c r="B16" s="66">
        <v>900</v>
      </c>
      <c r="C16" s="66">
        <v>770</v>
      </c>
      <c r="D16" s="6">
        <v>800</v>
      </c>
      <c r="F16" s="5" t="s">
        <v>226</v>
      </c>
    </row>
    <row r="17" spans="1:6" x14ac:dyDescent="0.35">
      <c r="A17" s="5" t="s">
        <v>227</v>
      </c>
      <c r="B17" s="66">
        <v>0</v>
      </c>
      <c r="C17" s="66">
        <v>235.89</v>
      </c>
      <c r="D17" s="6"/>
    </row>
    <row r="18" spans="1:6" x14ac:dyDescent="0.35">
      <c r="A18" s="5" t="s">
        <v>228</v>
      </c>
      <c r="B18" s="66">
        <v>1000</v>
      </c>
      <c r="C18" s="66">
        <v>128.5</v>
      </c>
      <c r="D18" s="6">
        <v>300</v>
      </c>
    </row>
    <row r="19" spans="1:6" x14ac:dyDescent="0.35">
      <c r="A19" s="5" t="s">
        <v>229</v>
      </c>
      <c r="B19" s="66"/>
      <c r="C19" s="66"/>
      <c r="D19" s="6">
        <v>20000</v>
      </c>
    </row>
    <row r="20" spans="1:6" x14ac:dyDescent="0.35">
      <c r="A20" s="5" t="s">
        <v>230</v>
      </c>
      <c r="B20" s="66">
        <v>34500</v>
      </c>
      <c r="C20" s="66"/>
      <c r="D20" s="6">
        <v>34500</v>
      </c>
    </row>
    <row r="21" spans="1:6" x14ac:dyDescent="0.35">
      <c r="A21" s="5" t="s">
        <v>231</v>
      </c>
      <c r="B21" s="66">
        <v>20000</v>
      </c>
      <c r="C21" s="66"/>
      <c r="D21" s="6">
        <v>20000</v>
      </c>
    </row>
    <row r="22" spans="1:6" x14ac:dyDescent="0.35">
      <c r="A22" s="5" t="s">
        <v>232</v>
      </c>
      <c r="B22" s="66">
        <v>88000</v>
      </c>
      <c r="C22" s="66">
        <v>88000</v>
      </c>
      <c r="D22" s="6"/>
    </row>
    <row r="23" spans="1:6" x14ac:dyDescent="0.35">
      <c r="A23" s="5" t="s">
        <v>233</v>
      </c>
      <c r="B23" s="66"/>
      <c r="C23" s="66"/>
      <c r="D23" s="6">
        <v>8000</v>
      </c>
    </row>
    <row r="24" spans="1:6" x14ac:dyDescent="0.35">
      <c r="A24" s="5" t="s">
        <v>234</v>
      </c>
      <c r="B24" s="66"/>
      <c r="C24" s="66">
        <v>2748</v>
      </c>
      <c r="D24" s="6"/>
    </row>
    <row r="25" spans="1:6" x14ac:dyDescent="0.35">
      <c r="A25" s="5" t="s">
        <v>235</v>
      </c>
      <c r="B25" s="66"/>
      <c r="C25" s="66">
        <v>8</v>
      </c>
      <c r="D25" s="6"/>
    </row>
    <row r="26" spans="1:6" x14ac:dyDescent="0.35">
      <c r="A26" s="5" t="s">
        <v>236</v>
      </c>
      <c r="B26" s="21"/>
      <c r="C26" s="66">
        <v>698.8</v>
      </c>
      <c r="D26" s="6"/>
    </row>
    <row r="27" spans="1:6" s="10" customFormat="1" ht="18.600000000000001" thickBot="1" x14ac:dyDescent="0.4">
      <c r="A27" s="10" t="s">
        <v>53</v>
      </c>
      <c r="B27" s="68">
        <f>SUM(B5:B26)</f>
        <v>1931891.6</v>
      </c>
      <c r="C27" s="68">
        <f>SUM(C5:C26)</f>
        <v>1685332.03</v>
      </c>
      <c r="D27" s="68">
        <f>SUM(D5:D26)</f>
        <v>1706799.2227868</v>
      </c>
      <c r="F27" s="12">
        <f>SUM(D6:D26)</f>
        <v>417577.01</v>
      </c>
    </row>
    <row r="28" spans="1:6" ht="18.600000000000001" thickTop="1" x14ac:dyDescent="0.35">
      <c r="B28" s="20"/>
      <c r="C28" s="20"/>
      <c r="D28" s="88"/>
    </row>
    <row r="29" spans="1:6" x14ac:dyDescent="0.35">
      <c r="A29" s="10" t="s">
        <v>237</v>
      </c>
      <c r="B29" s="20"/>
      <c r="C29" s="20"/>
      <c r="D29" s="20"/>
    </row>
    <row r="30" spans="1:6" x14ac:dyDescent="0.35">
      <c r="A30" s="10" t="s">
        <v>238</v>
      </c>
      <c r="B30" s="20"/>
      <c r="C30" s="20"/>
      <c r="D30" s="20"/>
    </row>
    <row r="31" spans="1:6" x14ac:dyDescent="0.35">
      <c r="A31" s="5" t="s">
        <v>239</v>
      </c>
      <c r="B31" s="66">
        <v>386188.2</v>
      </c>
      <c r="C31" s="66">
        <v>370023.15</v>
      </c>
      <c r="D31" s="56">
        <f>'Payroll &amp; Benefits'!D13</f>
        <v>328515.42</v>
      </c>
    </row>
    <row r="32" spans="1:6" x14ac:dyDescent="0.35">
      <c r="A32" s="5" t="s">
        <v>240</v>
      </c>
      <c r="B32" s="66">
        <v>15447</v>
      </c>
      <c r="C32" s="66">
        <v>27291.52</v>
      </c>
      <c r="D32" s="56">
        <f>'Payroll &amp; Benefits'!E13</f>
        <v>26303.664000000001</v>
      </c>
    </row>
    <row r="33" spans="1:6" x14ac:dyDescent="0.35">
      <c r="A33" s="5" t="s">
        <v>241</v>
      </c>
      <c r="B33" s="66">
        <f>'Payroll &amp; Benefits'!K13</f>
        <v>113459.72</v>
      </c>
      <c r="C33" s="66">
        <v>126628.03</v>
      </c>
      <c r="D33" s="56">
        <f>'Payroll &amp; Benefits'!K13</f>
        <v>113459.72</v>
      </c>
      <c r="F33" s="5" t="s">
        <v>242</v>
      </c>
    </row>
    <row r="34" spans="1:6" x14ac:dyDescent="0.35">
      <c r="A34" s="5" t="s">
        <v>243</v>
      </c>
      <c r="B34" s="66">
        <f>'Payroll &amp; Benefits'!L13</f>
        <v>24300</v>
      </c>
      <c r="C34" s="66">
        <v>14666.27</v>
      </c>
      <c r="D34" s="6">
        <f>'Payroll &amp; Benefits'!L13-6000</f>
        <v>18300</v>
      </c>
    </row>
    <row r="35" spans="1:6" x14ac:dyDescent="0.35">
      <c r="A35" s="5" t="s">
        <v>244</v>
      </c>
      <c r="B35" s="66">
        <v>36252.61</v>
      </c>
      <c r="C35" s="66">
        <v>31306.82</v>
      </c>
      <c r="D35" s="6">
        <f>'Payroll &amp; Benefits'!G13+'Payroll &amp; Benefits'!H13</f>
        <v>32288.536644</v>
      </c>
    </row>
    <row r="36" spans="1:6" x14ac:dyDescent="0.35">
      <c r="A36" s="5" t="s">
        <v>245</v>
      </c>
      <c r="B36" s="66">
        <v>1752.87</v>
      </c>
      <c r="C36" s="66">
        <v>1615.33</v>
      </c>
      <c r="D36" s="6">
        <f>'Payroll &amp; Benefits'!I13</f>
        <v>1561.2039696000002</v>
      </c>
    </row>
    <row r="37" spans="1:6" x14ac:dyDescent="0.35">
      <c r="A37" s="5" t="s">
        <v>246</v>
      </c>
      <c r="B37" s="66">
        <v>67206.759999999995</v>
      </c>
      <c r="C37" s="66">
        <v>67506.19</v>
      </c>
      <c r="D37" s="6">
        <f>'Payroll &amp; Benefits'!J13</f>
        <v>59205.568173199994</v>
      </c>
    </row>
    <row r="38" spans="1:6" x14ac:dyDescent="0.35">
      <c r="A38" s="5" t="s">
        <v>247</v>
      </c>
      <c r="B38" s="66">
        <v>22927</v>
      </c>
      <c r="C38" s="66">
        <v>22634.86</v>
      </c>
      <c r="D38" s="6">
        <v>23000</v>
      </c>
      <c r="F38" s="5" t="s">
        <v>248</v>
      </c>
    </row>
    <row r="39" spans="1:6" x14ac:dyDescent="0.35">
      <c r="A39" s="5" t="s">
        <v>249</v>
      </c>
      <c r="B39" s="66">
        <v>685</v>
      </c>
      <c r="C39" s="66">
        <v>642.6</v>
      </c>
      <c r="D39" s="6">
        <v>789</v>
      </c>
      <c r="F39" s="5" t="s">
        <v>248</v>
      </c>
    </row>
    <row r="40" spans="1:6" x14ac:dyDescent="0.35">
      <c r="A40" s="5" t="s">
        <v>250</v>
      </c>
      <c r="B40" s="66">
        <v>9000</v>
      </c>
      <c r="C40" s="66">
        <v>8926.34</v>
      </c>
      <c r="D40" s="6">
        <v>7000</v>
      </c>
      <c r="F40" s="5" t="s">
        <v>251</v>
      </c>
    </row>
    <row r="41" spans="1:6" x14ac:dyDescent="0.35">
      <c r="A41" s="5" t="s">
        <v>252</v>
      </c>
      <c r="B41" s="66">
        <v>250</v>
      </c>
      <c r="C41" s="66">
        <v>264.60000000000002</v>
      </c>
      <c r="D41" s="6">
        <v>250</v>
      </c>
    </row>
    <row r="42" spans="1:6" x14ac:dyDescent="0.35">
      <c r="A42" s="5" t="s">
        <v>253</v>
      </c>
      <c r="B42" s="66">
        <v>0</v>
      </c>
      <c r="C42" s="66">
        <v>70</v>
      </c>
      <c r="D42" s="6">
        <v>60</v>
      </c>
    </row>
    <row r="43" spans="1:6" ht="18.600000000000001" thickBot="1" x14ac:dyDescent="0.4">
      <c r="A43" s="10" t="s">
        <v>254</v>
      </c>
      <c r="B43" s="68">
        <f>SUM(B31:B42)</f>
        <v>677469.16</v>
      </c>
      <c r="C43" s="68">
        <f>SUM(C31:C42)</f>
        <v>671575.71</v>
      </c>
      <c r="D43" s="68">
        <f>SUM(D31:D42)</f>
        <v>610733.11278680002</v>
      </c>
      <c r="E43" s="10"/>
    </row>
    <row r="44" spans="1:6" ht="18.600000000000001" thickTop="1" x14ac:dyDescent="0.35">
      <c r="A44" s="10"/>
      <c r="B44" s="69"/>
      <c r="C44" s="70"/>
      <c r="D44" s="70"/>
    </row>
    <row r="45" spans="1:6" x14ac:dyDescent="0.35">
      <c r="A45" s="10" t="s">
        <v>255</v>
      </c>
      <c r="B45" s="20"/>
      <c r="C45" s="20"/>
      <c r="D45" s="20"/>
    </row>
    <row r="46" spans="1:6" x14ac:dyDescent="0.35">
      <c r="A46" s="5" t="s">
        <v>256</v>
      </c>
      <c r="B46" s="66">
        <v>3000</v>
      </c>
      <c r="C46" s="66">
        <v>3164.23</v>
      </c>
      <c r="D46" s="66">
        <v>3200</v>
      </c>
    </row>
    <row r="47" spans="1:6" x14ac:dyDescent="0.35">
      <c r="A47" s="5" t="s">
        <v>257</v>
      </c>
      <c r="B47" s="66">
        <v>500</v>
      </c>
      <c r="C47" s="66">
        <v>324</v>
      </c>
      <c r="D47" s="66">
        <v>350</v>
      </c>
    </row>
    <row r="48" spans="1:6" x14ac:dyDescent="0.35">
      <c r="A48" s="5" t="s">
        <v>258</v>
      </c>
      <c r="B48" s="66">
        <v>250</v>
      </c>
      <c r="C48" s="66">
        <v>145.36000000000001</v>
      </c>
      <c r="D48" s="66">
        <v>100</v>
      </c>
    </row>
    <row r="49" spans="1:5" ht="18.600000000000001" thickBot="1" x14ac:dyDescent="0.4">
      <c r="A49" s="10" t="s">
        <v>259</v>
      </c>
      <c r="B49" s="68">
        <f>SUM(B46:B48)</f>
        <v>3750</v>
      </c>
      <c r="C49" s="68">
        <f>SUM(C46:C48)</f>
        <v>3633.59</v>
      </c>
      <c r="D49" s="68">
        <f>SUM(D46:D48)</f>
        <v>3650</v>
      </c>
      <c r="E49" s="10"/>
    </row>
    <row r="50" spans="1:5" ht="18.600000000000001" thickTop="1" x14ac:dyDescent="0.35">
      <c r="B50" s="20"/>
      <c r="C50" s="20"/>
      <c r="D50" s="20"/>
    </row>
    <row r="51" spans="1:5" x14ac:dyDescent="0.35">
      <c r="A51" s="10" t="s">
        <v>260</v>
      </c>
      <c r="B51" s="20"/>
      <c r="C51" s="20"/>
      <c r="D51" s="20"/>
    </row>
    <row r="52" spans="1:5" x14ac:dyDescent="0.35">
      <c r="A52" s="5" t="s">
        <v>261</v>
      </c>
      <c r="B52" s="66">
        <v>1485</v>
      </c>
      <c r="C52" s="66">
        <v>1245</v>
      </c>
      <c r="D52" s="6">
        <v>1500</v>
      </c>
    </row>
    <row r="53" spans="1:5" x14ac:dyDescent="0.35">
      <c r="A53" s="5" t="s">
        <v>262</v>
      </c>
      <c r="B53" s="66">
        <v>1600</v>
      </c>
      <c r="C53" s="66">
        <v>1948.07</v>
      </c>
      <c r="D53" s="6">
        <v>1900</v>
      </c>
    </row>
    <row r="54" spans="1:5" x14ac:dyDescent="0.35">
      <c r="A54" s="5" t="s">
        <v>263</v>
      </c>
      <c r="B54" s="66">
        <v>1000</v>
      </c>
      <c r="C54" s="66">
        <v>420.5</v>
      </c>
      <c r="D54" s="6">
        <v>500</v>
      </c>
    </row>
    <row r="55" spans="1:5" s="40" customFormat="1" x14ac:dyDescent="0.35">
      <c r="A55" s="40" t="s">
        <v>264</v>
      </c>
      <c r="B55" s="41">
        <v>20000</v>
      </c>
      <c r="C55" s="41">
        <v>7691.39</v>
      </c>
      <c r="D55" s="92">
        <v>30000</v>
      </c>
    </row>
    <row r="56" spans="1:5" x14ac:dyDescent="0.35">
      <c r="A56" s="5" t="s">
        <v>265</v>
      </c>
      <c r="B56" s="66">
        <v>1000</v>
      </c>
      <c r="C56" s="66">
        <v>0</v>
      </c>
      <c r="D56" s="6">
        <v>1000</v>
      </c>
    </row>
    <row r="57" spans="1:5" x14ac:dyDescent="0.35">
      <c r="A57" s="5" t="s">
        <v>266</v>
      </c>
      <c r="B57" s="66">
        <v>4291.62</v>
      </c>
      <c r="C57" s="66">
        <v>4291.6400000000003</v>
      </c>
      <c r="D57" s="6">
        <v>4291.6400000000003</v>
      </c>
    </row>
    <row r="58" spans="1:5" x14ac:dyDescent="0.35">
      <c r="A58" s="5" t="s">
        <v>267</v>
      </c>
      <c r="B58" s="66">
        <v>1500</v>
      </c>
      <c r="C58" s="66">
        <v>1077.96</v>
      </c>
      <c r="D58" s="6">
        <v>1200</v>
      </c>
    </row>
    <row r="59" spans="1:5" x14ac:dyDescent="0.35">
      <c r="A59" s="5" t="s">
        <v>268</v>
      </c>
      <c r="B59" s="66">
        <v>1500</v>
      </c>
      <c r="C59" s="66">
        <v>937.27</v>
      </c>
      <c r="D59" s="6">
        <v>1000</v>
      </c>
    </row>
    <row r="60" spans="1:5" x14ac:dyDescent="0.35">
      <c r="A60" s="5" t="s">
        <v>269</v>
      </c>
      <c r="B60" s="66">
        <v>500</v>
      </c>
      <c r="C60" s="66">
        <v>233.55</v>
      </c>
      <c r="D60" s="6">
        <v>500</v>
      </c>
    </row>
    <row r="61" spans="1:5" x14ac:dyDescent="0.35">
      <c r="A61" s="5" t="s">
        <v>270</v>
      </c>
      <c r="B61" s="66">
        <v>3500</v>
      </c>
      <c r="C61" s="66">
        <v>4292.8</v>
      </c>
      <c r="D61" s="6">
        <v>4300</v>
      </c>
    </row>
    <row r="62" spans="1:5" x14ac:dyDescent="0.35">
      <c r="A62" s="5" t="s">
        <v>271</v>
      </c>
      <c r="B62" s="66">
        <v>1000</v>
      </c>
      <c r="C62" s="66">
        <v>850.91</v>
      </c>
      <c r="D62" s="6">
        <v>1000</v>
      </c>
    </row>
    <row r="63" spans="1:5" x14ac:dyDescent="0.35">
      <c r="A63" s="5" t="s">
        <v>272</v>
      </c>
      <c r="B63" s="66"/>
      <c r="C63" s="66">
        <v>2200</v>
      </c>
      <c r="D63" s="6">
        <v>5000</v>
      </c>
    </row>
    <row r="64" spans="1:5" ht="18.600000000000001" thickBot="1" x14ac:dyDescent="0.4">
      <c r="A64" s="10" t="s">
        <v>273</v>
      </c>
      <c r="B64" s="68">
        <f>SUM(B52:B62)</f>
        <v>37376.619999999995</v>
      </c>
      <c r="C64" s="68">
        <f>SUM(C52:C63)</f>
        <v>25189.089999999997</v>
      </c>
      <c r="D64" s="68">
        <f>SUM(D52:D63)</f>
        <v>52191.64</v>
      </c>
      <c r="E64" s="55"/>
    </row>
    <row r="65" spans="1:5" ht="18.600000000000001" thickTop="1" x14ac:dyDescent="0.35">
      <c r="B65" s="20"/>
      <c r="C65" s="20"/>
      <c r="D65" s="20"/>
    </row>
    <row r="66" spans="1:5" x14ac:dyDescent="0.35">
      <c r="A66" s="10" t="s">
        <v>274</v>
      </c>
      <c r="B66" s="20"/>
      <c r="C66" s="20"/>
      <c r="D66" s="20"/>
    </row>
    <row r="67" spans="1:5" x14ac:dyDescent="0.35">
      <c r="A67" s="5" t="s">
        <v>275</v>
      </c>
      <c r="B67" s="66">
        <v>1000</v>
      </c>
      <c r="C67" s="66">
        <v>0</v>
      </c>
      <c r="D67" s="6">
        <v>1000</v>
      </c>
    </row>
    <row r="68" spans="1:5" x14ac:dyDescent="0.35">
      <c r="A68" s="5" t="s">
        <v>276</v>
      </c>
      <c r="B68" s="66">
        <v>106000</v>
      </c>
      <c r="C68" s="66">
        <v>109996</v>
      </c>
      <c r="D68" s="6">
        <v>100000</v>
      </c>
    </row>
    <row r="69" spans="1:5" x14ac:dyDescent="0.35">
      <c r="A69" s="5" t="s">
        <v>277</v>
      </c>
      <c r="B69" s="66">
        <v>5000</v>
      </c>
      <c r="C69" s="66"/>
      <c r="D69" s="6">
        <v>2500</v>
      </c>
    </row>
    <row r="70" spans="1:5" x14ac:dyDescent="0.35">
      <c r="A70" s="5" t="s">
        <v>278</v>
      </c>
      <c r="B70" s="66">
        <v>0</v>
      </c>
      <c r="C70" s="66"/>
      <c r="D70" s="6"/>
    </row>
    <row r="71" spans="1:5" x14ac:dyDescent="0.35">
      <c r="A71" s="5" t="s">
        <v>279</v>
      </c>
      <c r="B71" s="66">
        <v>0</v>
      </c>
      <c r="C71" s="66">
        <v>0</v>
      </c>
      <c r="D71" s="6"/>
    </row>
    <row r="72" spans="1:5" x14ac:dyDescent="0.35">
      <c r="A72" s="5" t="s">
        <v>280</v>
      </c>
      <c r="B72" s="66">
        <v>0</v>
      </c>
      <c r="C72" s="66"/>
      <c r="D72" s="6"/>
    </row>
    <row r="73" spans="1:5" x14ac:dyDescent="0.35">
      <c r="A73" s="5" t="s">
        <v>281</v>
      </c>
      <c r="B73" s="66">
        <v>53600</v>
      </c>
      <c r="C73" s="66">
        <f>3825+69320.56</f>
        <v>73145.56</v>
      </c>
      <c r="D73" s="6">
        <v>0</v>
      </c>
    </row>
    <row r="74" spans="1:5" x14ac:dyDescent="0.35">
      <c r="A74" s="5" t="s">
        <v>282</v>
      </c>
      <c r="B74" s="66">
        <v>500</v>
      </c>
      <c r="C74" s="66">
        <v>483.01</v>
      </c>
      <c r="D74" s="6">
        <v>500</v>
      </c>
    </row>
    <row r="75" spans="1:5" x14ac:dyDescent="0.35">
      <c r="A75" s="5" t="s">
        <v>283</v>
      </c>
      <c r="B75" s="66">
        <v>2500</v>
      </c>
      <c r="C75" s="66">
        <v>289.89999999999998</v>
      </c>
      <c r="D75" s="6">
        <v>0</v>
      </c>
    </row>
    <row r="76" spans="1:5" x14ac:dyDescent="0.35">
      <c r="A76" s="5" t="s">
        <v>284</v>
      </c>
      <c r="B76" s="66">
        <v>40000</v>
      </c>
      <c r="C76" s="66">
        <v>63362.14</v>
      </c>
      <c r="D76" s="6">
        <v>55000</v>
      </c>
    </row>
    <row r="77" spans="1:5" ht="18.600000000000001" thickBot="1" x14ac:dyDescent="0.4">
      <c r="A77" s="10" t="s">
        <v>285</v>
      </c>
      <c r="B77" s="68">
        <f>SUM(B67:B76)</f>
        <v>208600</v>
      </c>
      <c r="C77" s="68">
        <f>SUM(C67:C76)</f>
        <v>247276.61</v>
      </c>
      <c r="D77" s="68">
        <f>SUM(D67:D76)</f>
        <v>159000</v>
      </c>
      <c r="E77" s="55"/>
    </row>
    <row r="78" spans="1:5" ht="18.600000000000001" thickTop="1" x14ac:dyDescent="0.35">
      <c r="B78" s="20"/>
      <c r="C78" s="20"/>
      <c r="D78" s="20"/>
    </row>
    <row r="79" spans="1:5" x14ac:dyDescent="0.35">
      <c r="A79" s="10" t="s">
        <v>286</v>
      </c>
      <c r="B79" s="20"/>
      <c r="C79" s="20"/>
      <c r="D79" s="20"/>
    </row>
    <row r="80" spans="1:5" x14ac:dyDescent="0.35">
      <c r="A80" s="5" t="s">
        <v>287</v>
      </c>
      <c r="B80" s="66">
        <v>0</v>
      </c>
      <c r="C80" s="66"/>
      <c r="D80" s="6">
        <v>5000</v>
      </c>
    </row>
    <row r="81" spans="1:5" x14ac:dyDescent="0.35">
      <c r="A81" s="5" t="s">
        <v>288</v>
      </c>
      <c r="B81" s="66">
        <v>2500</v>
      </c>
      <c r="C81" s="66"/>
      <c r="D81" s="6">
        <v>1500</v>
      </c>
    </row>
    <row r="82" spans="1:5" x14ac:dyDescent="0.35">
      <c r="A82" s="5" t="s">
        <v>289</v>
      </c>
      <c r="B82" s="66">
        <v>20000</v>
      </c>
      <c r="C82" s="66">
        <v>22952.92</v>
      </c>
      <c r="D82" s="6">
        <v>20000</v>
      </c>
    </row>
    <row r="83" spans="1:5" x14ac:dyDescent="0.35">
      <c r="A83" s="5" t="s">
        <v>290</v>
      </c>
      <c r="B83" s="66">
        <v>5000</v>
      </c>
      <c r="C83" s="66">
        <v>500</v>
      </c>
      <c r="D83" s="6">
        <v>6000</v>
      </c>
    </row>
    <row r="84" spans="1:5" x14ac:dyDescent="0.35">
      <c r="A84" s="5" t="s">
        <v>291</v>
      </c>
      <c r="B84" s="66">
        <v>0</v>
      </c>
      <c r="C84" s="66">
        <v>4057.54</v>
      </c>
      <c r="D84" s="6">
        <v>0</v>
      </c>
    </row>
    <row r="85" spans="1:5" x14ac:dyDescent="0.35">
      <c r="A85" s="5" t="s">
        <v>292</v>
      </c>
      <c r="B85" s="66"/>
      <c r="C85" s="66"/>
      <c r="D85" s="6">
        <v>15000</v>
      </c>
    </row>
    <row r="86" spans="1:5" x14ac:dyDescent="0.35">
      <c r="A86" s="5" t="s">
        <v>293</v>
      </c>
      <c r="B86" s="66">
        <v>12800</v>
      </c>
      <c r="C86" s="66">
        <v>0</v>
      </c>
      <c r="D86" s="6">
        <v>12800</v>
      </c>
    </row>
    <row r="87" spans="1:5" x14ac:dyDescent="0.35">
      <c r="A87" s="5" t="s">
        <v>294</v>
      </c>
      <c r="B87" s="66">
        <v>10000</v>
      </c>
      <c r="C87" s="66">
        <v>2304.25</v>
      </c>
      <c r="D87" s="6">
        <v>10000</v>
      </c>
    </row>
    <row r="88" spans="1:5" s="40" customFormat="1" x14ac:dyDescent="0.35">
      <c r="A88" s="40" t="s">
        <v>295</v>
      </c>
      <c r="B88" s="41">
        <v>6000</v>
      </c>
      <c r="C88" s="41">
        <v>4795.1000000000004</v>
      </c>
      <c r="D88" s="92">
        <v>0</v>
      </c>
    </row>
    <row r="89" spans="1:5" x14ac:dyDescent="0.35">
      <c r="A89" s="5" t="s">
        <v>296</v>
      </c>
      <c r="B89" s="66">
        <v>500</v>
      </c>
      <c r="C89" s="66">
        <v>244.06</v>
      </c>
      <c r="D89" s="6">
        <v>500</v>
      </c>
    </row>
    <row r="90" spans="1:5" x14ac:dyDescent="0.35">
      <c r="A90" s="5" t="s">
        <v>297</v>
      </c>
      <c r="B90" s="66">
        <v>2500</v>
      </c>
      <c r="C90" s="66">
        <v>289.89999999999998</v>
      </c>
      <c r="D90" s="6">
        <v>5000</v>
      </c>
    </row>
    <row r="91" spans="1:5" x14ac:dyDescent="0.35">
      <c r="A91" s="5" t="s">
        <v>298</v>
      </c>
      <c r="B91" s="66">
        <v>135000</v>
      </c>
      <c r="C91" s="66">
        <v>117612.17</v>
      </c>
      <c r="D91" s="6">
        <v>120000</v>
      </c>
    </row>
    <row r="92" spans="1:5" x14ac:dyDescent="0.35">
      <c r="A92" s="5" t="s">
        <v>299</v>
      </c>
      <c r="B92" s="66">
        <v>24000</v>
      </c>
      <c r="C92" s="66">
        <v>29968.400000000001</v>
      </c>
      <c r="D92" s="6">
        <v>30000</v>
      </c>
    </row>
    <row r="93" spans="1:5" x14ac:dyDescent="0.35">
      <c r="A93" s="5" t="s">
        <v>300</v>
      </c>
      <c r="B93" s="66">
        <v>43000</v>
      </c>
      <c r="C93" s="66">
        <v>37947.599999999999</v>
      </c>
      <c r="D93" s="6">
        <v>43000</v>
      </c>
    </row>
    <row r="94" spans="1:5" x14ac:dyDescent="0.35">
      <c r="A94" s="5" t="s">
        <v>301</v>
      </c>
      <c r="B94" s="66">
        <v>1590</v>
      </c>
      <c r="C94" s="66">
        <v>1542</v>
      </c>
      <c r="D94" s="6">
        <v>1590</v>
      </c>
    </row>
    <row r="95" spans="1:5" ht="18.600000000000001" thickBot="1" x14ac:dyDescent="0.4">
      <c r="A95" s="10" t="s">
        <v>302</v>
      </c>
      <c r="B95" s="68">
        <f>SUM(B80:B94)</f>
        <v>262890</v>
      </c>
      <c r="C95" s="68">
        <f>SUM(C80:C94)</f>
        <v>222213.94</v>
      </c>
      <c r="D95" s="68">
        <f>SUM(D80:D94)</f>
        <v>270390</v>
      </c>
      <c r="E95" s="55"/>
    </row>
    <row r="96" spans="1:5" ht="18.600000000000001" thickTop="1" x14ac:dyDescent="0.35">
      <c r="B96" s="20"/>
      <c r="C96" s="20"/>
      <c r="D96" s="20"/>
    </row>
    <row r="97" spans="1:5" x14ac:dyDescent="0.35">
      <c r="A97" s="10" t="s">
        <v>303</v>
      </c>
      <c r="B97" s="20"/>
      <c r="C97" s="20"/>
      <c r="D97" s="20"/>
    </row>
    <row r="98" spans="1:5" x14ac:dyDescent="0.35">
      <c r="A98" s="5" t="s">
        <v>304</v>
      </c>
      <c r="B98" s="20">
        <v>0</v>
      </c>
      <c r="C98" s="20"/>
      <c r="D98" s="20"/>
    </row>
    <row r="99" spans="1:5" x14ac:dyDescent="0.35">
      <c r="A99" s="5" t="s">
        <v>305</v>
      </c>
      <c r="B99" s="20">
        <v>0</v>
      </c>
      <c r="C99" s="20"/>
      <c r="D99" s="20"/>
    </row>
    <row r="100" spans="1:5" x14ac:dyDescent="0.35">
      <c r="A100" s="10" t="s">
        <v>306</v>
      </c>
      <c r="B100" s="55"/>
      <c r="C100" s="55"/>
      <c r="D100" s="55"/>
      <c r="E100" s="10"/>
    </row>
    <row r="101" spans="1:5" x14ac:dyDescent="0.35">
      <c r="B101" s="20"/>
      <c r="C101" s="20"/>
      <c r="D101" s="20"/>
    </row>
    <row r="102" spans="1:5" x14ac:dyDescent="0.35">
      <c r="A102" s="10" t="s">
        <v>307</v>
      </c>
      <c r="B102" s="20"/>
      <c r="C102" s="20"/>
      <c r="D102" s="20"/>
    </row>
    <row r="103" spans="1:5" x14ac:dyDescent="0.35">
      <c r="A103" s="5" t="s">
        <v>308</v>
      </c>
      <c r="B103" s="66">
        <v>6000</v>
      </c>
      <c r="C103" s="66">
        <v>5488.64</v>
      </c>
      <c r="D103" s="6">
        <v>6000</v>
      </c>
    </row>
    <row r="104" spans="1:5" x14ac:dyDescent="0.35">
      <c r="A104" s="5" t="s">
        <v>309</v>
      </c>
      <c r="B104" s="66">
        <v>400</v>
      </c>
      <c r="C104" s="66">
        <v>1227.49</v>
      </c>
      <c r="D104" s="6">
        <v>1200</v>
      </c>
    </row>
    <row r="105" spans="1:5" x14ac:dyDescent="0.35">
      <c r="A105" s="5" t="s">
        <v>310</v>
      </c>
      <c r="B105" s="66">
        <v>35000</v>
      </c>
      <c r="C105" s="66">
        <v>52039.09</v>
      </c>
      <c r="D105" s="6">
        <v>35000</v>
      </c>
    </row>
    <row r="106" spans="1:5" x14ac:dyDescent="0.35">
      <c r="A106" s="5" t="s">
        <v>311</v>
      </c>
      <c r="B106" s="66">
        <v>10737.82</v>
      </c>
      <c r="C106" s="66">
        <v>12388.21</v>
      </c>
      <c r="D106" s="6">
        <v>12000</v>
      </c>
    </row>
    <row r="107" spans="1:5" x14ac:dyDescent="0.35">
      <c r="A107" s="5" t="s">
        <v>312</v>
      </c>
      <c r="B107" s="66">
        <v>45000</v>
      </c>
      <c r="C107" s="66">
        <v>63475</v>
      </c>
      <c r="D107" s="6">
        <v>60000</v>
      </c>
    </row>
    <row r="108" spans="1:5" x14ac:dyDescent="0.35">
      <c r="A108" s="5" t="s">
        <v>313</v>
      </c>
      <c r="B108" s="66">
        <v>1000</v>
      </c>
      <c r="C108" s="66">
        <v>0</v>
      </c>
      <c r="D108" s="6"/>
    </row>
    <row r="109" spans="1:5" x14ac:dyDescent="0.35">
      <c r="A109" s="5" t="s">
        <v>314</v>
      </c>
      <c r="B109" s="66">
        <v>10000</v>
      </c>
      <c r="C109" s="66">
        <v>15713.15</v>
      </c>
      <c r="D109" s="6">
        <v>15000</v>
      </c>
    </row>
    <row r="110" spans="1:5" x14ac:dyDescent="0.35">
      <c r="A110" s="5" t="s">
        <v>315</v>
      </c>
      <c r="B110" s="66">
        <v>100000</v>
      </c>
      <c r="C110" s="66">
        <v>88586.8</v>
      </c>
      <c r="D110" s="6">
        <v>85000</v>
      </c>
    </row>
    <row r="111" spans="1:5" x14ac:dyDescent="0.35">
      <c r="A111" s="5" t="s">
        <v>316</v>
      </c>
      <c r="B111" s="66">
        <v>387000</v>
      </c>
      <c r="C111" s="66">
        <v>291334</v>
      </c>
      <c r="D111" s="6">
        <v>100000</v>
      </c>
    </row>
    <row r="112" spans="1:5" ht="18.600000000000001" thickBot="1" x14ac:dyDescent="0.4">
      <c r="A112" s="10" t="s">
        <v>317</v>
      </c>
      <c r="B112" s="68">
        <f>SUM(B103:B111)</f>
        <v>595137.82000000007</v>
      </c>
      <c r="C112" s="68">
        <f>SUM(C103:C111)</f>
        <v>530252.38</v>
      </c>
      <c r="D112" s="68">
        <f>SUM(D103:D111)</f>
        <v>314200</v>
      </c>
      <c r="E112" s="10"/>
    </row>
    <row r="113" spans="1:5" ht="18.600000000000001" thickTop="1" x14ac:dyDescent="0.35">
      <c r="B113" s="20"/>
      <c r="C113" s="20"/>
      <c r="D113" s="20"/>
    </row>
    <row r="114" spans="1:5" x14ac:dyDescent="0.35">
      <c r="A114" s="10" t="s">
        <v>318</v>
      </c>
      <c r="B114" s="20"/>
      <c r="C114" s="20"/>
      <c r="D114" s="20"/>
    </row>
    <row r="115" spans="1:5" x14ac:dyDescent="0.35">
      <c r="A115" s="5" t="s">
        <v>319</v>
      </c>
      <c r="B115" s="66">
        <v>5000</v>
      </c>
      <c r="C115" s="66">
        <v>5005.92</v>
      </c>
      <c r="D115" s="6">
        <v>5100</v>
      </c>
    </row>
    <row r="116" spans="1:5" x14ac:dyDescent="0.35">
      <c r="A116" s="5" t="s">
        <v>320</v>
      </c>
      <c r="B116" s="66">
        <v>13000</v>
      </c>
      <c r="C116" s="66">
        <v>12960.45</v>
      </c>
      <c r="D116" s="6">
        <f>12960.45+48574.02</f>
        <v>61534.47</v>
      </c>
    </row>
    <row r="117" spans="1:5" x14ac:dyDescent="0.35">
      <c r="A117" s="5" t="s">
        <v>321</v>
      </c>
      <c r="B117" s="66">
        <v>0</v>
      </c>
      <c r="C117" s="66"/>
      <c r="D117" s="6"/>
    </row>
    <row r="118" spans="1:5" ht="18.600000000000001" thickBot="1" x14ac:dyDescent="0.4">
      <c r="A118" s="10" t="s">
        <v>322</v>
      </c>
      <c r="B118" s="68">
        <f>SUM(B115:B117)</f>
        <v>18000</v>
      </c>
      <c r="C118" s="68">
        <f>SUM(C115:C117)</f>
        <v>17966.370000000003</v>
      </c>
      <c r="D118" s="68">
        <f>SUM(D115:D117)</f>
        <v>66634.47</v>
      </c>
      <c r="E118" s="10"/>
    </row>
    <row r="119" spans="1:5" ht="18.600000000000001" thickTop="1" x14ac:dyDescent="0.35">
      <c r="B119" s="20"/>
      <c r="C119" s="20"/>
      <c r="D119" s="20"/>
    </row>
    <row r="120" spans="1:5" x14ac:dyDescent="0.35">
      <c r="A120" s="10" t="s">
        <v>323</v>
      </c>
      <c r="B120" s="20"/>
      <c r="C120" s="20"/>
      <c r="D120" s="20"/>
    </row>
    <row r="121" spans="1:5" x14ac:dyDescent="0.35">
      <c r="A121" s="5" t="s">
        <v>324</v>
      </c>
      <c r="B121" s="66">
        <v>100000</v>
      </c>
      <c r="C121" s="66">
        <v>100000</v>
      </c>
      <c r="D121" s="6">
        <v>150000</v>
      </c>
    </row>
    <row r="122" spans="1:5" x14ac:dyDescent="0.35">
      <c r="A122" s="5" t="s">
        <v>409</v>
      </c>
      <c r="B122" s="66"/>
      <c r="C122" s="66"/>
      <c r="D122" s="6">
        <v>60000</v>
      </c>
    </row>
    <row r="123" spans="1:5" x14ac:dyDescent="0.35">
      <c r="A123" s="5" t="s">
        <v>325</v>
      </c>
      <c r="B123" s="66">
        <v>8000</v>
      </c>
      <c r="C123" s="66">
        <v>8000</v>
      </c>
      <c r="D123" s="6">
        <v>20000</v>
      </c>
    </row>
    <row r="124" spans="1:5" ht="18.600000000000001" thickBot="1" x14ac:dyDescent="0.4">
      <c r="A124" s="10" t="s">
        <v>326</v>
      </c>
      <c r="B124" s="68">
        <f>SUM(B121:B123)</f>
        <v>108000</v>
      </c>
      <c r="C124" s="68">
        <f>SUM(C121:C123)</f>
        <v>108000</v>
      </c>
      <c r="D124" s="68">
        <f>SUM(D121:D123)</f>
        <v>230000</v>
      </c>
      <c r="E124" s="10"/>
    </row>
    <row r="125" spans="1:5" ht="18.600000000000001" thickTop="1" x14ac:dyDescent="0.35">
      <c r="B125" s="20"/>
      <c r="C125" s="20"/>
      <c r="D125" s="20"/>
    </row>
    <row r="126" spans="1:5" ht="18.600000000000001" thickBot="1" x14ac:dyDescent="0.4">
      <c r="A126" s="10" t="s">
        <v>327</v>
      </c>
      <c r="B126" s="68">
        <f>B124+B118+B112+B95+B77+B64+B49+B43</f>
        <v>1911223.6</v>
      </c>
      <c r="C126" s="68">
        <f>C124+C118+C112+C95+C77+C64+C49+C43</f>
        <v>1826107.69</v>
      </c>
      <c r="D126" s="68">
        <f>D124+D118+D112+D95+D77+D64+D49+D43</f>
        <v>1706799.2227868</v>
      </c>
    </row>
    <row r="127" spans="1:5" ht="18.600000000000001" thickTop="1" x14ac:dyDescent="0.35"/>
    <row r="128" spans="1:5" x14ac:dyDescent="0.35">
      <c r="A128" s="5" t="s">
        <v>186</v>
      </c>
      <c r="C128" s="20">
        <f>C27</f>
        <v>1685332.03</v>
      </c>
      <c r="D128" s="20">
        <f>D27</f>
        <v>1706799.2227868</v>
      </c>
    </row>
    <row r="129" spans="1:4" x14ac:dyDescent="0.35">
      <c r="A129" s="5" t="s">
        <v>187</v>
      </c>
      <c r="C129" s="20">
        <f>C126</f>
        <v>1826107.69</v>
      </c>
      <c r="D129" s="20">
        <f>D126</f>
        <v>1706799.2227868</v>
      </c>
    </row>
    <row r="130" spans="1:4" ht="18.600000000000001" thickBot="1" x14ac:dyDescent="0.4">
      <c r="A130" s="10" t="s">
        <v>188</v>
      </c>
      <c r="C130" s="71">
        <f>C128-C129</f>
        <v>-140775.65999999992</v>
      </c>
      <c r="D130" s="71">
        <f>D128-D129</f>
        <v>0</v>
      </c>
    </row>
    <row r="131" spans="1:4" x14ac:dyDescent="0.35">
      <c r="A131" s="5" t="s">
        <v>189</v>
      </c>
      <c r="C131" s="21"/>
    </row>
    <row r="132" spans="1:4" ht="18.600000000000001" thickBot="1" x14ac:dyDescent="0.4">
      <c r="A132" s="10" t="s">
        <v>190</v>
      </c>
      <c r="C132" s="68"/>
      <c r="D132" s="68">
        <f>D130+D131</f>
        <v>0</v>
      </c>
    </row>
    <row r="133" spans="1:4" ht="18.600000000000001" thickTop="1" x14ac:dyDescent="0.35"/>
  </sheetData>
  <pageMargins left="0.7" right="0.7" top="0.75" bottom="0.75" header="0.3" footer="0.3"/>
  <pageSetup scale="72" orientation="portrait" horizontalDpi="300" verticalDpi="300" r:id="rId1"/>
  <headerFooter alignWithMargins="0"/>
  <rowBreaks count="2" manualBreakCount="2">
    <brk id="50" max="3" man="1"/>
    <brk id="96" max="3" man="1"/>
  </rowBreaks>
  <colBreaks count="1" manualBreakCount="1">
    <brk id="4" max="131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F10E-EA7B-4CDE-A629-9C9306CCB7E6}">
  <dimension ref="A1:D45"/>
  <sheetViews>
    <sheetView topLeftCell="A16" zoomScaleNormal="100" workbookViewId="0">
      <selection activeCell="A2" sqref="A2"/>
    </sheetView>
  </sheetViews>
  <sheetFormatPr defaultColWidth="8.88671875" defaultRowHeight="13.8" x14ac:dyDescent="0.25"/>
  <cols>
    <col min="1" max="1" width="45.109375" style="17" customWidth="1"/>
    <col min="2" max="2" width="13.33203125" style="17" bestFit="1" customWidth="1"/>
    <col min="3" max="3" width="14.6640625" style="17" customWidth="1"/>
    <col min="4" max="4" width="13.88671875" style="17" customWidth="1"/>
    <col min="5" max="16384" width="8.88671875" style="17"/>
  </cols>
  <sheetData>
    <row r="1" spans="1:4" ht="17.399999999999999" x14ac:dyDescent="0.3">
      <c r="A1" s="23" t="s">
        <v>328</v>
      </c>
    </row>
    <row r="2" spans="1:4" s="24" customFormat="1" ht="15.6" x14ac:dyDescent="0.3">
      <c r="B2" s="93"/>
      <c r="C2" s="93"/>
      <c r="D2" s="93"/>
    </row>
    <row r="3" spans="1:4" s="24" customFormat="1" ht="15.6" x14ac:dyDescent="0.3">
      <c r="B3" s="26"/>
      <c r="C3" s="26"/>
      <c r="D3" s="26" t="s">
        <v>1</v>
      </c>
    </row>
    <row r="4" spans="1:4" s="24" customFormat="1" ht="15.6" x14ac:dyDescent="0.3">
      <c r="A4" s="18" t="s">
        <v>329</v>
      </c>
      <c r="B4" s="26" t="s">
        <v>3</v>
      </c>
      <c r="C4" s="26" t="s">
        <v>4</v>
      </c>
      <c r="D4" s="26" t="s">
        <v>5</v>
      </c>
    </row>
    <row r="5" spans="1:4" s="24" customFormat="1" ht="15.6" x14ac:dyDescent="0.3">
      <c r="A5" s="18"/>
      <c r="B5" s="26"/>
      <c r="C5" s="26"/>
      <c r="D5" s="26"/>
    </row>
    <row r="6" spans="1:4" s="24" customFormat="1" ht="15.6" x14ac:dyDescent="0.3">
      <c r="A6" s="25" t="s">
        <v>330</v>
      </c>
      <c r="B6" s="27">
        <v>450</v>
      </c>
      <c r="C6" s="27">
        <v>2260</v>
      </c>
      <c r="D6" s="32">
        <v>450</v>
      </c>
    </row>
    <row r="7" spans="1:4" s="24" customFormat="1" ht="15.6" x14ac:dyDescent="0.3">
      <c r="A7" s="25" t="s">
        <v>331</v>
      </c>
      <c r="B7" s="27">
        <v>130</v>
      </c>
      <c r="C7" s="27">
        <v>360</v>
      </c>
      <c r="D7" s="32">
        <v>130</v>
      </c>
    </row>
    <row r="8" spans="1:4" s="24" customFormat="1" ht="15.6" x14ac:dyDescent="0.3">
      <c r="A8" s="25" t="s">
        <v>332</v>
      </c>
      <c r="B8" s="27">
        <v>110000</v>
      </c>
      <c r="C8" s="27">
        <v>110921.07</v>
      </c>
      <c r="D8" s="32">
        <v>160000</v>
      </c>
    </row>
    <row r="9" spans="1:4" s="24" customFormat="1" ht="15.6" x14ac:dyDescent="0.3">
      <c r="A9" s="25" t="s">
        <v>333</v>
      </c>
      <c r="B9" s="27">
        <v>5000</v>
      </c>
      <c r="C9" s="27">
        <v>6711.59</v>
      </c>
      <c r="D9" s="32">
        <v>6000</v>
      </c>
    </row>
    <row r="10" spans="1:4" s="24" customFormat="1" ht="15.6" x14ac:dyDescent="0.3">
      <c r="A10" s="25" t="s">
        <v>334</v>
      </c>
      <c r="B10" s="27">
        <v>300</v>
      </c>
      <c r="C10" s="27">
        <v>275.99</v>
      </c>
      <c r="D10" s="32">
        <v>300</v>
      </c>
    </row>
    <row r="11" spans="1:4" s="24" customFormat="1" ht="15.6" x14ac:dyDescent="0.3">
      <c r="A11" s="25" t="s">
        <v>335</v>
      </c>
      <c r="B11" s="27">
        <v>2000</v>
      </c>
      <c r="C11" s="27">
        <v>2640.17</v>
      </c>
      <c r="D11" s="32">
        <v>2600</v>
      </c>
    </row>
    <row r="12" spans="1:4" s="24" customFormat="1" ht="15.6" x14ac:dyDescent="0.3">
      <c r="A12" s="25" t="s">
        <v>336</v>
      </c>
      <c r="B12" s="27"/>
      <c r="C12" s="27">
        <v>1294.07</v>
      </c>
      <c r="D12" s="32"/>
    </row>
    <row r="13" spans="1:4" s="24" customFormat="1" ht="16.2" thickBot="1" x14ac:dyDescent="0.35">
      <c r="A13" s="25" t="s">
        <v>337</v>
      </c>
      <c r="B13" s="27"/>
      <c r="C13" s="27">
        <v>4089.48</v>
      </c>
      <c r="D13" s="32">
        <v>1200</v>
      </c>
    </row>
    <row r="14" spans="1:4" s="24" customFormat="1" ht="16.2" thickBot="1" x14ac:dyDescent="0.35">
      <c r="A14" s="18" t="s">
        <v>338</v>
      </c>
      <c r="B14" s="72">
        <f>SUM(B6:B11)</f>
        <v>117880</v>
      </c>
      <c r="C14" s="28">
        <f>SUM(C6:C13)</f>
        <v>128552.37000000001</v>
      </c>
      <c r="D14" s="72">
        <f>SUM(D6:D13)</f>
        <v>170680</v>
      </c>
    </row>
    <row r="15" spans="1:4" s="24" customFormat="1" ht="16.2" thickTop="1" x14ac:dyDescent="0.3">
      <c r="B15" s="29"/>
      <c r="C15" s="29"/>
      <c r="D15" s="29"/>
    </row>
    <row r="16" spans="1:4" s="24" customFormat="1" ht="15.6" x14ac:dyDescent="0.3">
      <c r="B16" s="26"/>
      <c r="C16" s="26"/>
      <c r="D16" s="26" t="s">
        <v>1</v>
      </c>
    </row>
    <row r="17" spans="1:4" s="24" customFormat="1" ht="15.6" x14ac:dyDescent="0.3">
      <c r="A17" s="22" t="s">
        <v>339</v>
      </c>
      <c r="B17" s="26" t="s">
        <v>3</v>
      </c>
      <c r="C17" s="26" t="s">
        <v>4</v>
      </c>
      <c r="D17" s="26" t="s">
        <v>5</v>
      </c>
    </row>
    <row r="18" spans="1:4" s="24" customFormat="1" ht="15.6" x14ac:dyDescent="0.3">
      <c r="A18" s="22"/>
      <c r="B18" s="26"/>
      <c r="C18" s="26"/>
      <c r="D18" s="26"/>
    </row>
    <row r="19" spans="1:4" s="24" customFormat="1" ht="15.6" x14ac:dyDescent="0.3">
      <c r="A19" s="24" t="s">
        <v>340</v>
      </c>
      <c r="B19" s="26"/>
      <c r="C19" s="27">
        <v>4516.25</v>
      </c>
      <c r="D19" s="79">
        <v>1300</v>
      </c>
    </row>
    <row r="20" spans="1:4" s="24" customFormat="1" ht="15.6" x14ac:dyDescent="0.3">
      <c r="A20" s="25" t="s">
        <v>341</v>
      </c>
      <c r="B20" s="27">
        <v>500</v>
      </c>
      <c r="C20" s="27">
        <v>0</v>
      </c>
      <c r="D20" s="32">
        <v>500</v>
      </c>
    </row>
    <row r="21" spans="1:4" s="24" customFormat="1" ht="15.6" x14ac:dyDescent="0.3">
      <c r="A21" s="25" t="s">
        <v>342</v>
      </c>
      <c r="B21" s="27">
        <v>72445</v>
      </c>
      <c r="C21" s="27">
        <v>75771.81</v>
      </c>
      <c r="D21" s="32">
        <v>75280</v>
      </c>
    </row>
    <row r="22" spans="1:4" s="24" customFormat="1" ht="15.6" x14ac:dyDescent="0.3">
      <c r="A22" s="25" t="s">
        <v>343</v>
      </c>
      <c r="B22" s="27">
        <v>350</v>
      </c>
      <c r="C22" s="27">
        <v>562.5</v>
      </c>
      <c r="D22" s="32">
        <v>400</v>
      </c>
    </row>
    <row r="23" spans="1:4" s="24" customFormat="1" ht="15.6" x14ac:dyDescent="0.3">
      <c r="A23" s="25" t="s">
        <v>344</v>
      </c>
      <c r="B23" s="27">
        <v>14000</v>
      </c>
      <c r="C23" s="27">
        <v>2143.88</v>
      </c>
      <c r="D23" s="32">
        <v>12500</v>
      </c>
    </row>
    <row r="24" spans="1:4" s="24" customFormat="1" ht="15.6" x14ac:dyDescent="0.3">
      <c r="A24" s="25" t="s">
        <v>345</v>
      </c>
      <c r="B24" s="27">
        <v>0</v>
      </c>
      <c r="C24" s="27">
        <v>0</v>
      </c>
      <c r="D24" s="32"/>
    </row>
    <row r="25" spans="1:4" s="24" customFormat="1" ht="15.6" x14ac:dyDescent="0.3">
      <c r="A25" s="25" t="s">
        <v>346</v>
      </c>
      <c r="B25" s="27">
        <v>14385</v>
      </c>
      <c r="C25" s="27">
        <v>14776.9</v>
      </c>
      <c r="D25" s="32">
        <v>14000</v>
      </c>
    </row>
    <row r="26" spans="1:4" s="24" customFormat="1" ht="15.6" x14ac:dyDescent="0.3">
      <c r="A26" s="25" t="s">
        <v>347</v>
      </c>
      <c r="B26" s="27">
        <v>200</v>
      </c>
      <c r="C26" s="27">
        <v>200</v>
      </c>
      <c r="D26" s="32">
        <v>200</v>
      </c>
    </row>
    <row r="27" spans="1:4" s="24" customFormat="1" ht="15.6" x14ac:dyDescent="0.3">
      <c r="A27" s="25" t="s">
        <v>348</v>
      </c>
      <c r="B27" s="27"/>
      <c r="C27" s="27">
        <v>100</v>
      </c>
      <c r="D27" s="32"/>
    </row>
    <row r="28" spans="1:4" s="24" customFormat="1" ht="15.6" x14ac:dyDescent="0.3">
      <c r="A28" s="25" t="s">
        <v>349</v>
      </c>
      <c r="B28" s="27">
        <v>8000</v>
      </c>
      <c r="C28" s="27">
        <v>8000</v>
      </c>
      <c r="D28" s="32">
        <v>33000</v>
      </c>
    </row>
    <row r="29" spans="1:4" s="24" customFormat="1" ht="15.6" x14ac:dyDescent="0.3">
      <c r="A29" s="25" t="s">
        <v>350</v>
      </c>
      <c r="B29" s="27">
        <v>8000</v>
      </c>
      <c r="C29" s="27">
        <v>8000</v>
      </c>
      <c r="D29" s="32">
        <v>33500</v>
      </c>
    </row>
    <row r="30" spans="1:4" s="24" customFormat="1" ht="16.2" thickBot="1" x14ac:dyDescent="0.35">
      <c r="A30" s="18" t="s">
        <v>351</v>
      </c>
      <c r="B30" s="75">
        <f>SUM(B20:B29)</f>
        <v>117880</v>
      </c>
      <c r="C30" s="86">
        <f>SUM(C19:C29)</f>
        <v>114071.34</v>
      </c>
      <c r="D30" s="33">
        <f>SUM(D19:D29)</f>
        <v>170680</v>
      </c>
    </row>
    <row r="31" spans="1:4" s="24" customFormat="1" ht="16.8" thickTop="1" thickBot="1" x14ac:dyDescent="0.35">
      <c r="A31" s="18"/>
      <c r="B31" s="73"/>
      <c r="C31" s="74"/>
      <c r="D31" s="80"/>
    </row>
    <row r="32" spans="1:4" s="24" customFormat="1" ht="16.8" thickTop="1" thickBot="1" x14ac:dyDescent="0.35">
      <c r="A32" s="18" t="s">
        <v>352</v>
      </c>
      <c r="B32" s="87">
        <f>B14-B30</f>
        <v>0</v>
      </c>
      <c r="C32" s="87">
        <f t="shared" ref="C32:D32" si="0">C14-C30</f>
        <v>14481.030000000013</v>
      </c>
      <c r="D32" s="87">
        <f t="shared" si="0"/>
        <v>0</v>
      </c>
    </row>
    <row r="33" spans="1:2" s="24" customFormat="1" ht="16.2" thickTop="1" x14ac:dyDescent="0.3">
      <c r="A33" s="30"/>
    </row>
    <row r="34" spans="1:2" s="24" customFormat="1" ht="15.6" x14ac:dyDescent="0.3">
      <c r="A34" s="30"/>
    </row>
    <row r="35" spans="1:2" s="24" customFormat="1" ht="15.6" x14ac:dyDescent="0.3">
      <c r="A35" s="30"/>
    </row>
    <row r="36" spans="1:2" s="24" customFormat="1" ht="15.6" x14ac:dyDescent="0.3">
      <c r="A36" s="19" t="s">
        <v>353</v>
      </c>
    </row>
    <row r="37" spans="1:2" s="24" customFormat="1" ht="15.6" x14ac:dyDescent="0.3">
      <c r="A37" s="19"/>
    </row>
    <row r="38" spans="1:2" s="24" customFormat="1" ht="15.6" x14ac:dyDescent="0.3">
      <c r="A38" s="31" t="s">
        <v>354</v>
      </c>
      <c r="B38" s="32">
        <v>5037.8900000000003</v>
      </c>
    </row>
    <row r="39" spans="1:2" s="24" customFormat="1" ht="15.6" x14ac:dyDescent="0.3">
      <c r="A39" s="31" t="s">
        <v>355</v>
      </c>
      <c r="B39" s="32"/>
    </row>
    <row r="40" spans="1:2" s="24" customFormat="1" ht="15.6" x14ac:dyDescent="0.3">
      <c r="A40" s="31" t="s">
        <v>333</v>
      </c>
      <c r="B40" s="32">
        <f>C9</f>
        <v>6711.59</v>
      </c>
    </row>
    <row r="41" spans="1:2" s="24" customFormat="1" ht="15.6" x14ac:dyDescent="0.3">
      <c r="A41" s="31" t="s">
        <v>356</v>
      </c>
      <c r="B41" s="32">
        <v>275.99</v>
      </c>
    </row>
    <row r="42" spans="1:2" s="24" customFormat="1" ht="16.2" thickBot="1" x14ac:dyDescent="0.35">
      <c r="A42" s="31" t="s">
        <v>357</v>
      </c>
      <c r="B42" s="33">
        <f>SUM(B40:B41)</f>
        <v>6987.58</v>
      </c>
    </row>
    <row r="43" spans="1:2" s="24" customFormat="1" ht="16.2" thickTop="1" x14ac:dyDescent="0.3">
      <c r="A43" s="31" t="s">
        <v>358</v>
      </c>
      <c r="B43" s="34">
        <v>7968</v>
      </c>
    </row>
    <row r="44" spans="1:2" s="24" customFormat="1" ht="15.6" x14ac:dyDescent="0.3">
      <c r="A44" s="35" t="s">
        <v>359</v>
      </c>
    </row>
    <row r="45" spans="1:2" s="24" customFormat="1" ht="15.6" x14ac:dyDescent="0.3"/>
  </sheetData>
  <mergeCells count="1">
    <mergeCell ref="B2:D2"/>
  </mergeCells>
  <pageMargins left="0.7" right="0.7" top="0.75" bottom="0.75" header="0.3" footer="0.3"/>
  <pageSetup scale="97"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0653-0037-496F-A34E-015498003E52}">
  <dimension ref="A2:J23"/>
  <sheetViews>
    <sheetView workbookViewId="0">
      <selection activeCell="C12" sqref="C12"/>
    </sheetView>
  </sheetViews>
  <sheetFormatPr defaultRowHeight="14.4" x14ac:dyDescent="0.3"/>
  <cols>
    <col min="1" max="1" width="22.6640625" customWidth="1"/>
    <col min="3" max="3" width="14.44140625" customWidth="1"/>
    <col min="4" max="4" width="3.6640625" customWidth="1"/>
    <col min="5" max="5" width="14.5546875" customWidth="1"/>
    <col min="6" max="6" width="11.44140625" customWidth="1"/>
  </cols>
  <sheetData>
    <row r="2" spans="1:6" x14ac:dyDescent="0.3">
      <c r="C2" s="16" t="s">
        <v>360</v>
      </c>
      <c r="D2" s="16"/>
      <c r="E2" s="16" t="s">
        <v>361</v>
      </c>
    </row>
    <row r="3" spans="1:6" x14ac:dyDescent="0.3">
      <c r="A3" t="s">
        <v>329</v>
      </c>
      <c r="C3" s="14">
        <f>'General Fund Budget'!D56</f>
        <v>1031542.8331086</v>
      </c>
      <c r="D3" s="14"/>
      <c r="E3" s="14">
        <f>'Highway Budget'!D27</f>
        <v>1706799.2227868</v>
      </c>
    </row>
    <row r="4" spans="1:6" x14ac:dyDescent="0.3">
      <c r="A4" t="s">
        <v>339</v>
      </c>
      <c r="C4" s="14">
        <f>'General Fund Budget'!D193</f>
        <v>1031542.8331086</v>
      </c>
      <c r="D4" s="14"/>
      <c r="E4" s="14">
        <f>'Highway Budget'!D126</f>
        <v>1706799.2227868</v>
      </c>
    </row>
    <row r="5" spans="1:6" ht="15" thickBot="1" x14ac:dyDescent="0.35">
      <c r="A5" t="s">
        <v>362</v>
      </c>
      <c r="C5" s="58">
        <f>C4-C3</f>
        <v>0</v>
      </c>
      <c r="D5" s="58"/>
      <c r="E5" s="58">
        <f t="shared" ref="E5" si="0">E4-E3</f>
        <v>0</v>
      </c>
    </row>
    <row r="6" spans="1:6" x14ac:dyDescent="0.3">
      <c r="A6" t="s">
        <v>363</v>
      </c>
      <c r="C6" s="14">
        <f>Appropriations!C17</f>
        <v>47802</v>
      </c>
      <c r="D6" s="14"/>
      <c r="E6" s="14"/>
    </row>
    <row r="7" spans="1:6" ht="15" thickBot="1" x14ac:dyDescent="0.35">
      <c r="A7" t="s">
        <v>362</v>
      </c>
      <c r="C7" s="57">
        <f>C4+C6-C3</f>
        <v>47802</v>
      </c>
      <c r="D7" s="57"/>
      <c r="E7" s="57">
        <f>E4-E3</f>
        <v>0</v>
      </c>
    </row>
    <row r="8" spans="1:6" ht="15" thickTop="1" x14ac:dyDescent="0.3"/>
    <row r="10" spans="1:6" x14ac:dyDescent="0.3">
      <c r="A10" t="s">
        <v>364</v>
      </c>
      <c r="C10" s="14">
        <v>3415757.44</v>
      </c>
    </row>
    <row r="11" spans="1:6" x14ac:dyDescent="0.3">
      <c r="C11" s="4"/>
    </row>
    <row r="12" spans="1:6" x14ac:dyDescent="0.3">
      <c r="A12" t="s">
        <v>365</v>
      </c>
      <c r="C12" s="15">
        <f>('General Fund Budget'!D9+C6+5000)/C10</f>
        <v>0.26225261859009519</v>
      </c>
      <c r="D12" s="15"/>
    </row>
    <row r="13" spans="1:6" x14ac:dyDescent="0.3">
      <c r="A13" t="s">
        <v>366</v>
      </c>
      <c r="E13" s="15">
        <f>'Highway Budget'!D5/C10</f>
        <v>0.37743377140585255</v>
      </c>
    </row>
    <row r="14" spans="1:6" x14ac:dyDescent="0.3">
      <c r="A14" t="s">
        <v>367</v>
      </c>
      <c r="F14" s="15">
        <f>C12+E13</f>
        <v>0.63968638999594774</v>
      </c>
    </row>
    <row r="17" spans="1:10" x14ac:dyDescent="0.3">
      <c r="A17" t="s">
        <v>368</v>
      </c>
    </row>
    <row r="19" spans="1:10" x14ac:dyDescent="0.3">
      <c r="A19" t="s">
        <v>369</v>
      </c>
      <c r="C19">
        <v>0.27589999999999998</v>
      </c>
    </row>
    <row r="20" spans="1:10" x14ac:dyDescent="0.3">
      <c r="A20" t="s">
        <v>366</v>
      </c>
      <c r="E20">
        <v>0.37559999999999999</v>
      </c>
    </row>
    <row r="21" spans="1:10" x14ac:dyDescent="0.3">
      <c r="A21" t="s">
        <v>367</v>
      </c>
      <c r="F21">
        <f>E20+C19</f>
        <v>0.65149999999999997</v>
      </c>
    </row>
    <row r="23" spans="1:10" x14ac:dyDescent="0.3">
      <c r="J23">
        <f>('General Fund Budget'!B193-'General Fund Budget'!D54)/'Tax Rate'!C10</f>
        <v>0.22203359966918496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E792-2554-4D2D-9EA6-3A2DBC38F2D2}">
  <dimension ref="A1:M40"/>
  <sheetViews>
    <sheetView zoomScaleNormal="100" workbookViewId="0">
      <selection activeCell="D10" sqref="D10"/>
    </sheetView>
  </sheetViews>
  <sheetFormatPr defaultColWidth="27.88671875" defaultRowHeight="18" x14ac:dyDescent="0.35"/>
  <cols>
    <col min="1" max="1" width="24.33203125" style="5" customWidth="1"/>
    <col min="2" max="2" width="15" style="5" customWidth="1"/>
    <col min="3" max="3" width="14.44140625" style="5" customWidth="1"/>
    <col min="4" max="4" width="16.5546875" style="5" customWidth="1"/>
    <col min="5" max="5" width="15.33203125" style="5" customWidth="1"/>
    <col min="6" max="6" width="17.33203125" style="5" customWidth="1"/>
    <col min="7" max="7" width="14.6640625" style="5" customWidth="1"/>
    <col min="8" max="8" width="13.44140625" style="5" customWidth="1"/>
    <col min="9" max="9" width="13.88671875" style="5" customWidth="1"/>
    <col min="10" max="10" width="15.6640625" style="5" customWidth="1"/>
    <col min="11" max="11" width="17" style="5" customWidth="1"/>
    <col min="12" max="12" width="14.109375" style="5" customWidth="1"/>
    <col min="13" max="16384" width="27.88671875" style="5"/>
  </cols>
  <sheetData>
    <row r="1" spans="1:13" x14ac:dyDescent="0.35">
      <c r="A1" s="5" t="s">
        <v>370</v>
      </c>
      <c r="C1" s="5" t="s">
        <v>371</v>
      </c>
    </row>
    <row r="3" spans="1:13" x14ac:dyDescent="0.35">
      <c r="A3" s="10" t="s">
        <v>361</v>
      </c>
    </row>
    <row r="4" spans="1:13" ht="34.5" customHeight="1" x14ac:dyDescent="0.35">
      <c r="A4" s="7"/>
      <c r="B4" s="8" t="s">
        <v>372</v>
      </c>
      <c r="C4" s="8" t="s">
        <v>373</v>
      </c>
      <c r="D4" s="8" t="s">
        <v>374</v>
      </c>
      <c r="E4" s="8" t="s">
        <v>375</v>
      </c>
      <c r="F4" s="8" t="s">
        <v>376</v>
      </c>
      <c r="G4" s="8" t="s">
        <v>377</v>
      </c>
      <c r="H4" s="8" t="s">
        <v>378</v>
      </c>
      <c r="I4" s="8" t="s">
        <v>379</v>
      </c>
      <c r="J4" s="8" t="s">
        <v>380</v>
      </c>
      <c r="K4" s="8" t="s">
        <v>381</v>
      </c>
      <c r="L4" s="9" t="s">
        <v>382</v>
      </c>
    </row>
    <row r="5" spans="1:13" x14ac:dyDescent="0.35">
      <c r="A5" s="5" t="s">
        <v>383</v>
      </c>
      <c r="B5" s="6">
        <v>29.12</v>
      </c>
      <c r="C5" s="56">
        <v>31.2</v>
      </c>
      <c r="D5" s="6">
        <f>C5*40*52</f>
        <v>64896</v>
      </c>
      <c r="E5" s="6"/>
      <c r="F5" s="6">
        <f>D5+E5</f>
        <v>64896</v>
      </c>
      <c r="G5" s="6">
        <f>F5*7.65%</f>
        <v>4964.5439999999999</v>
      </c>
      <c r="H5" s="6">
        <f>F5*1.45%</f>
        <v>940.99199999999996</v>
      </c>
      <c r="I5" s="6">
        <f>F5*0.44%</f>
        <v>285.54240000000004</v>
      </c>
      <c r="J5" s="6">
        <f>F5*17.23%</f>
        <v>11181.5808</v>
      </c>
      <c r="K5" s="6">
        <f>2432.38*12</f>
        <v>29188.560000000001</v>
      </c>
      <c r="L5" s="6">
        <v>5400</v>
      </c>
    </row>
    <row r="6" spans="1:13" x14ac:dyDescent="0.35">
      <c r="A6" s="5" t="s">
        <v>384</v>
      </c>
      <c r="B6" s="6">
        <v>23.33</v>
      </c>
      <c r="C6" s="56">
        <v>24.63</v>
      </c>
      <c r="D6" s="6">
        <f t="shared" ref="D6:D12" si="0">C6*40*52</f>
        <v>51230.399999999994</v>
      </c>
      <c r="E6" s="6">
        <f t="shared" ref="E6:E12" si="1">D6*7%</f>
        <v>3586.1280000000002</v>
      </c>
      <c r="F6" s="6">
        <f t="shared" ref="F6:F12" si="2">D6+E6</f>
        <v>54816.527999999991</v>
      </c>
      <c r="G6" s="6">
        <f t="shared" ref="G6:G12" si="3">F6*7.65%</f>
        <v>4193.464391999999</v>
      </c>
      <c r="H6" s="6">
        <f t="shared" ref="H6:H12" si="4">F6*1.45%</f>
        <v>794.83965599999976</v>
      </c>
      <c r="I6" s="6">
        <f t="shared" ref="I6:I12" si="5">F6*0.44%</f>
        <v>241.19272319999999</v>
      </c>
      <c r="J6" s="6">
        <f t="shared" ref="J6:J12" si="6">F6*17.23%</f>
        <v>9444.8877743999983</v>
      </c>
      <c r="K6" s="6">
        <f>2347.25*12</f>
        <v>28167</v>
      </c>
      <c r="L6" s="6">
        <v>5400</v>
      </c>
    </row>
    <row r="7" spans="1:13" x14ac:dyDescent="0.35">
      <c r="A7" s="5" t="s">
        <v>385</v>
      </c>
      <c r="B7" s="6">
        <v>23.33</v>
      </c>
      <c r="C7" s="56">
        <v>24.63</v>
      </c>
      <c r="D7" s="6">
        <f t="shared" si="0"/>
        <v>51230.399999999994</v>
      </c>
      <c r="E7" s="6">
        <f>D7*10%</f>
        <v>5123.04</v>
      </c>
      <c r="F7" s="6">
        <f t="shared" si="2"/>
        <v>56353.439999999995</v>
      </c>
      <c r="G7" s="6">
        <f t="shared" si="3"/>
        <v>4311.0381599999992</v>
      </c>
      <c r="H7" s="6">
        <f t="shared" si="4"/>
        <v>817.12487999999985</v>
      </c>
      <c r="I7" s="6">
        <f t="shared" si="5"/>
        <v>247.95513599999998</v>
      </c>
      <c r="J7" s="6">
        <f t="shared" si="6"/>
        <v>9709.6977119999992</v>
      </c>
      <c r="K7" s="6">
        <f>3417.49*12</f>
        <v>41009.879999999997</v>
      </c>
      <c r="L7" s="6">
        <v>5400</v>
      </c>
    </row>
    <row r="8" spans="1:13" x14ac:dyDescent="0.35">
      <c r="A8" s="5" t="s">
        <v>386</v>
      </c>
      <c r="B8" s="6">
        <v>23.33</v>
      </c>
      <c r="C8" s="56">
        <v>25.25</v>
      </c>
      <c r="D8" s="6">
        <f t="shared" si="0"/>
        <v>52520</v>
      </c>
      <c r="E8" s="6">
        <f t="shared" si="1"/>
        <v>3676.4000000000005</v>
      </c>
      <c r="F8" s="6">
        <f t="shared" si="2"/>
        <v>56196.4</v>
      </c>
      <c r="G8" s="6">
        <f t="shared" si="3"/>
        <v>4299.0245999999997</v>
      </c>
      <c r="H8" s="6">
        <f t="shared" si="4"/>
        <v>814.84780000000001</v>
      </c>
      <c r="I8" s="6">
        <f t="shared" si="5"/>
        <v>247.26416000000003</v>
      </c>
      <c r="J8" s="6">
        <f t="shared" si="6"/>
        <v>9682.639720000001</v>
      </c>
      <c r="K8" s="6">
        <v>500</v>
      </c>
      <c r="L8" s="6">
        <v>0</v>
      </c>
    </row>
    <row r="9" spans="1:13" x14ac:dyDescent="0.35">
      <c r="A9" s="5" t="s">
        <v>387</v>
      </c>
      <c r="B9" s="6"/>
      <c r="C9" s="56"/>
      <c r="D9" s="6">
        <v>33530.620000000003</v>
      </c>
      <c r="E9" s="6"/>
      <c r="F9" s="6">
        <v>33530.620000000003</v>
      </c>
      <c r="G9" s="6">
        <f t="shared" si="3"/>
        <v>2565.0924300000001</v>
      </c>
      <c r="H9" s="6">
        <f t="shared" si="4"/>
        <v>486.19398999999999</v>
      </c>
      <c r="I9" s="6">
        <f t="shared" si="5"/>
        <v>147.53472800000003</v>
      </c>
      <c r="J9" s="6">
        <f t="shared" si="6"/>
        <v>5777.3258260000011</v>
      </c>
      <c r="K9" s="6"/>
      <c r="L9" s="6">
        <v>5400</v>
      </c>
    </row>
    <row r="10" spans="1:13" x14ac:dyDescent="0.35">
      <c r="A10" s="5" t="s">
        <v>388</v>
      </c>
      <c r="C10" s="81">
        <v>3.8</v>
      </c>
      <c r="D10" s="6">
        <f>31.2+3.8*2080</f>
        <v>7935.2</v>
      </c>
      <c r="E10" s="6">
        <v>10000</v>
      </c>
      <c r="F10" s="6">
        <f t="shared" si="2"/>
        <v>17935.2</v>
      </c>
      <c r="G10" s="6">
        <f>F10*7.65%</f>
        <v>1372.0427999999999</v>
      </c>
      <c r="H10" s="6">
        <f>F10*1.45%</f>
        <v>260.06040000000002</v>
      </c>
      <c r="I10" s="6">
        <f>F10*0.44%</f>
        <v>78.914880000000011</v>
      </c>
      <c r="J10" s="6">
        <f t="shared" si="6"/>
        <v>3090.2349600000002</v>
      </c>
      <c r="K10" s="6"/>
      <c r="L10" s="6"/>
    </row>
    <row r="11" spans="1:13" x14ac:dyDescent="0.35">
      <c r="A11" s="5" t="s">
        <v>389</v>
      </c>
      <c r="B11" s="6">
        <v>22.32</v>
      </c>
      <c r="C11" s="56">
        <v>35</v>
      </c>
      <c r="D11" s="6">
        <f>C11*20*16</f>
        <v>11200</v>
      </c>
      <c r="E11" s="6"/>
      <c r="F11" s="6">
        <f t="shared" si="2"/>
        <v>11200</v>
      </c>
      <c r="G11" s="6">
        <f t="shared" si="3"/>
        <v>856.8</v>
      </c>
      <c r="H11" s="6">
        <f t="shared" si="4"/>
        <v>162.39999999999998</v>
      </c>
      <c r="I11" s="6">
        <f t="shared" si="5"/>
        <v>49.28</v>
      </c>
      <c r="J11" s="6"/>
      <c r="K11" s="6"/>
      <c r="L11" s="6"/>
    </row>
    <row r="12" spans="1:13" x14ac:dyDescent="0.35">
      <c r="A12" s="5" t="s">
        <v>390</v>
      </c>
      <c r="B12" s="6">
        <v>26.12</v>
      </c>
      <c r="C12" s="56">
        <v>26.91</v>
      </c>
      <c r="D12" s="6">
        <f t="shared" si="0"/>
        <v>55972.800000000003</v>
      </c>
      <c r="E12" s="6">
        <f t="shared" si="1"/>
        <v>3918.0960000000005</v>
      </c>
      <c r="F12" s="6">
        <f t="shared" si="2"/>
        <v>59890.896000000001</v>
      </c>
      <c r="G12" s="6">
        <f t="shared" si="3"/>
        <v>4581.6535439999998</v>
      </c>
      <c r="H12" s="6">
        <f t="shared" si="4"/>
        <v>868.41799199999991</v>
      </c>
      <c r="I12" s="6">
        <f t="shared" si="5"/>
        <v>263.51994239999999</v>
      </c>
      <c r="J12" s="6">
        <f t="shared" si="6"/>
        <v>10319.201380800001</v>
      </c>
      <c r="K12" s="6">
        <f>1216.19*12</f>
        <v>14594.28</v>
      </c>
      <c r="L12" s="6">
        <v>2700</v>
      </c>
    </row>
    <row r="13" spans="1:13" s="10" customFormat="1" x14ac:dyDescent="0.35">
      <c r="A13" s="10" t="s">
        <v>391</v>
      </c>
      <c r="B13" s="11"/>
      <c r="D13" s="11">
        <f t="shared" ref="D13:L13" si="7">SUM(D5:D12)</f>
        <v>328515.42</v>
      </c>
      <c r="E13" s="11">
        <f t="shared" si="7"/>
        <v>26303.664000000001</v>
      </c>
      <c r="F13" s="11">
        <f t="shared" si="7"/>
        <v>354819.08400000003</v>
      </c>
      <c r="G13" s="11">
        <f t="shared" si="7"/>
        <v>27143.659926</v>
      </c>
      <c r="H13" s="11">
        <f t="shared" si="7"/>
        <v>5144.8767179999995</v>
      </c>
      <c r="I13" s="11">
        <f t="shared" si="7"/>
        <v>1561.2039696000002</v>
      </c>
      <c r="J13" s="11">
        <f t="shared" si="7"/>
        <v>59205.568173199994</v>
      </c>
      <c r="K13" s="12">
        <f t="shared" si="7"/>
        <v>113459.72</v>
      </c>
      <c r="L13" s="12">
        <f t="shared" si="7"/>
        <v>24300</v>
      </c>
      <c r="M13" s="12">
        <f>SUM(F13:L13)</f>
        <v>585634.11278680002</v>
      </c>
    </row>
    <row r="15" spans="1:13" x14ac:dyDescent="0.35">
      <c r="A15" s="10" t="s">
        <v>392</v>
      </c>
    </row>
    <row r="16" spans="1:13" ht="34.5" customHeight="1" x14ac:dyDescent="0.35">
      <c r="A16" s="7"/>
      <c r="B16" s="8" t="s">
        <v>372</v>
      </c>
      <c r="C16" s="8" t="s">
        <v>373</v>
      </c>
      <c r="D16" s="8" t="s">
        <v>374</v>
      </c>
      <c r="E16" s="8" t="s">
        <v>393</v>
      </c>
      <c r="F16" s="8" t="s">
        <v>376</v>
      </c>
      <c r="G16" s="8" t="s">
        <v>377</v>
      </c>
      <c r="H16" s="8" t="s">
        <v>378</v>
      </c>
      <c r="I16" s="8" t="s">
        <v>379</v>
      </c>
      <c r="J16" s="8" t="s">
        <v>380</v>
      </c>
      <c r="K16" s="8" t="s">
        <v>381</v>
      </c>
      <c r="L16" s="9" t="s">
        <v>382</v>
      </c>
    </row>
    <row r="17" spans="1:13" x14ac:dyDescent="0.35">
      <c r="A17" s="5" t="s">
        <v>394</v>
      </c>
      <c r="B17" s="6">
        <v>22</v>
      </c>
      <c r="C17" s="56">
        <f>3%*B17+B17</f>
        <v>22.66</v>
      </c>
      <c r="D17" s="6">
        <f>C17*14*52</f>
        <v>16496.48</v>
      </c>
      <c r="E17" s="6">
        <v>0</v>
      </c>
      <c r="F17" s="6">
        <f>D17</f>
        <v>16496.48</v>
      </c>
      <c r="G17" s="6">
        <f t="shared" ref="G17:G19" si="8">F17*7.65%</f>
        <v>1261.98072</v>
      </c>
      <c r="H17" s="6">
        <f t="shared" ref="H17:H19" si="9">F17*1.45%</f>
        <v>239.19895999999997</v>
      </c>
      <c r="I17" s="6">
        <f t="shared" ref="I17:I19" si="10">F17*0.44%</f>
        <v>72.584512000000004</v>
      </c>
      <c r="J17" s="6">
        <v>0</v>
      </c>
      <c r="K17" s="6">
        <v>0</v>
      </c>
      <c r="L17" s="6">
        <v>0</v>
      </c>
    </row>
    <row r="18" spans="1:13" x14ac:dyDescent="0.35">
      <c r="A18" s="5" t="s">
        <v>395</v>
      </c>
      <c r="B18" s="6">
        <f>30.2+0.76</f>
        <v>30.96</v>
      </c>
      <c r="C18" s="56">
        <f>3%*B18+B18</f>
        <v>31.8888</v>
      </c>
      <c r="D18" s="6">
        <f>C18*29*40+C18*35*12</f>
        <v>50384.304000000004</v>
      </c>
      <c r="E18" s="6">
        <f>31.89+15.95*10</f>
        <v>191.39</v>
      </c>
      <c r="F18" s="6">
        <f>E18+D18</f>
        <v>50575.694000000003</v>
      </c>
      <c r="G18" s="6">
        <f t="shared" si="8"/>
        <v>3869.0405909999999</v>
      </c>
      <c r="H18" s="6">
        <f t="shared" si="9"/>
        <v>733.34756300000004</v>
      </c>
      <c r="I18" s="6">
        <f t="shared" si="10"/>
        <v>222.53305360000002</v>
      </c>
      <c r="J18" s="6">
        <f>F18*17.23%</f>
        <v>8714.1920762000009</v>
      </c>
      <c r="K18" s="6">
        <v>0</v>
      </c>
      <c r="L18" s="6">
        <v>0</v>
      </c>
    </row>
    <row r="19" spans="1:13" x14ac:dyDescent="0.35">
      <c r="A19" s="5" t="s">
        <v>396</v>
      </c>
      <c r="B19" s="6">
        <v>0</v>
      </c>
      <c r="D19" s="6">
        <f>3%*72775+72775</f>
        <v>74958.25</v>
      </c>
      <c r="E19" s="6">
        <v>0</v>
      </c>
      <c r="F19" s="6">
        <f>3%*72775+72775</f>
        <v>74958.25</v>
      </c>
      <c r="G19" s="6">
        <f t="shared" si="8"/>
        <v>5734.3061250000001</v>
      </c>
      <c r="H19" s="6">
        <f t="shared" si="9"/>
        <v>1086.8946249999999</v>
      </c>
      <c r="I19" s="6">
        <f t="shared" si="10"/>
        <v>329.81630000000001</v>
      </c>
      <c r="J19" s="6">
        <f>F19*17.23%</f>
        <v>12915.306475000001</v>
      </c>
      <c r="K19" s="6">
        <f>2432.38*12</f>
        <v>29188.560000000001</v>
      </c>
      <c r="L19" s="6">
        <v>5400</v>
      </c>
    </row>
    <row r="20" spans="1:13" s="10" customFormat="1" x14ac:dyDescent="0.35">
      <c r="A20" s="10" t="s">
        <v>397</v>
      </c>
      <c r="B20" s="11"/>
      <c r="D20" s="11">
        <f>SUM(D17:D19)</f>
        <v>141839.03399999999</v>
      </c>
      <c r="E20" s="11">
        <f>SUM(E17:E19)</f>
        <v>191.39</v>
      </c>
      <c r="F20" s="11">
        <f>SUM(F17:F19)</f>
        <v>142030.424</v>
      </c>
      <c r="G20" s="11">
        <f t="shared" ref="G20:J20" si="11">SUM(G17:G19)</f>
        <v>10865.327436</v>
      </c>
      <c r="H20" s="11">
        <f t="shared" si="11"/>
        <v>2059.4411479999999</v>
      </c>
      <c r="I20" s="11">
        <f t="shared" si="11"/>
        <v>624.93386559999999</v>
      </c>
      <c r="J20" s="11">
        <f t="shared" si="11"/>
        <v>21629.498551200002</v>
      </c>
      <c r="K20" s="11">
        <f>SUM(K17:K19)</f>
        <v>29188.560000000001</v>
      </c>
      <c r="L20" s="11">
        <f>SUM(L17:L19)</f>
        <v>5400</v>
      </c>
      <c r="M20" s="12">
        <f>SUM(F20:L20)</f>
        <v>211798.1850008</v>
      </c>
    </row>
    <row r="21" spans="1:13" x14ac:dyDescent="0.35">
      <c r="B21" s="6"/>
      <c r="D21" s="6"/>
      <c r="E21" s="6"/>
      <c r="F21" s="6"/>
      <c r="G21" s="6"/>
      <c r="H21" s="6"/>
      <c r="I21" s="6"/>
      <c r="J21" s="6"/>
      <c r="K21" s="6"/>
      <c r="L21" s="6"/>
    </row>
    <row r="22" spans="1:13" x14ac:dyDescent="0.35">
      <c r="A22" s="10" t="s">
        <v>398</v>
      </c>
    </row>
    <row r="23" spans="1:13" ht="37.5" customHeight="1" x14ac:dyDescent="0.35">
      <c r="A23" s="7"/>
      <c r="B23" s="8" t="s">
        <v>372</v>
      </c>
      <c r="C23" s="8" t="s">
        <v>373</v>
      </c>
      <c r="D23" s="8" t="s">
        <v>399</v>
      </c>
      <c r="E23" s="8"/>
      <c r="F23" s="8" t="s">
        <v>376</v>
      </c>
      <c r="G23" s="8" t="s">
        <v>377</v>
      </c>
      <c r="H23" s="8" t="s">
        <v>378</v>
      </c>
      <c r="I23" s="8" t="s">
        <v>379</v>
      </c>
      <c r="J23" s="8" t="s">
        <v>380</v>
      </c>
      <c r="K23" s="8" t="s">
        <v>381</v>
      </c>
      <c r="L23" s="9" t="s">
        <v>382</v>
      </c>
    </row>
    <row r="24" spans="1:13" x14ac:dyDescent="0.35">
      <c r="A24" s="5" t="s">
        <v>400</v>
      </c>
      <c r="B24" s="5">
        <f>17.73+0.44</f>
        <v>18.170000000000002</v>
      </c>
      <c r="C24" s="81">
        <v>22.5</v>
      </c>
      <c r="D24" s="6">
        <f>C24*475</f>
        <v>10687.5</v>
      </c>
      <c r="E24" s="6"/>
      <c r="F24" s="6">
        <f>D24</f>
        <v>10687.5</v>
      </c>
      <c r="G24" s="6">
        <f t="shared" ref="G24:G33" si="12">F24*7.65%</f>
        <v>817.59375</v>
      </c>
      <c r="H24" s="6">
        <f t="shared" ref="H24" si="13">F24*1.45%</f>
        <v>154.96875</v>
      </c>
      <c r="I24" s="6">
        <f t="shared" ref="I24" si="14">F24*0.44%</f>
        <v>47.025000000000006</v>
      </c>
      <c r="J24" s="6"/>
      <c r="K24" s="6"/>
      <c r="L24" s="6"/>
    </row>
    <row r="25" spans="1:13" x14ac:dyDescent="0.35">
      <c r="A25" s="5" t="s">
        <v>387</v>
      </c>
      <c r="B25" s="6">
        <v>0</v>
      </c>
      <c r="C25" s="56">
        <f t="shared" ref="C25" si="15">3%*B25+B25</f>
        <v>0</v>
      </c>
      <c r="D25" s="6">
        <v>50295.983</v>
      </c>
      <c r="E25" s="6"/>
      <c r="F25" s="6">
        <f>D25</f>
        <v>50295.983</v>
      </c>
      <c r="G25" s="6">
        <f>F25*7.65%</f>
        <v>3847.6426995000002</v>
      </c>
      <c r="H25" s="6">
        <f>F25*1.45%</f>
        <v>729.29175349999991</v>
      </c>
      <c r="I25" s="6">
        <f>F25*0.44%</f>
        <v>221.30232520000001</v>
      </c>
      <c r="J25" s="6">
        <f>F25*17.23%</f>
        <v>8665.9978709000006</v>
      </c>
      <c r="K25" s="6">
        <f>2432.38*12</f>
        <v>29188.560000000001</v>
      </c>
      <c r="L25" s="6"/>
    </row>
    <row r="26" spans="1:13" x14ac:dyDescent="0.35">
      <c r="A26" s="5" t="s">
        <v>401</v>
      </c>
      <c r="B26" s="5">
        <f>0.64+25.4</f>
        <v>26.04</v>
      </c>
      <c r="C26" s="81">
        <f t="shared" ref="C26" si="16">3%*B26+B26</f>
        <v>26.821199999999997</v>
      </c>
      <c r="D26" s="6">
        <f>C26*10*52</f>
        <v>13947.023999999999</v>
      </c>
      <c r="E26" s="6"/>
      <c r="F26" s="6">
        <f t="shared" ref="F26" si="17">D26</f>
        <v>13947.023999999999</v>
      </c>
      <c r="G26" s="6">
        <f t="shared" si="12"/>
        <v>1066.947336</v>
      </c>
      <c r="H26" s="6">
        <f t="shared" ref="H26:H33" si="18">F26*1.45%</f>
        <v>202.23184799999999</v>
      </c>
      <c r="I26" s="6">
        <f t="shared" ref="I26:I33" si="19">F26*0.44%</f>
        <v>61.366905600000003</v>
      </c>
      <c r="J26" s="6"/>
      <c r="K26" s="6"/>
      <c r="L26" s="6"/>
    </row>
    <row r="27" spans="1:13" s="10" customFormat="1" x14ac:dyDescent="0.35">
      <c r="A27" s="10" t="s">
        <v>397</v>
      </c>
      <c r="D27" s="11"/>
      <c r="E27" s="11"/>
      <c r="F27" s="11">
        <f>SUM(F24:F26)</f>
        <v>74930.506999999998</v>
      </c>
      <c r="G27" s="11">
        <f>SUM(G24:G26)</f>
        <v>5732.1837855000003</v>
      </c>
      <c r="H27" s="11">
        <f>SUM(H24:H26)</f>
        <v>1086.4923514999998</v>
      </c>
      <c r="I27" s="11">
        <f>SUM(I24:I26)</f>
        <v>329.69423080000001</v>
      </c>
      <c r="J27" s="11"/>
      <c r="K27" s="11">
        <f>SUM(K24:K26)</f>
        <v>29188.560000000001</v>
      </c>
      <c r="L27" s="11">
        <f>SUM(L24:L26)</f>
        <v>0</v>
      </c>
    </row>
    <row r="28" spans="1:13" x14ac:dyDescent="0.35">
      <c r="D28" s="6"/>
      <c r="E28" s="6"/>
      <c r="F28" s="6"/>
      <c r="G28" s="6"/>
      <c r="H28" s="6"/>
      <c r="I28" s="6"/>
      <c r="J28" s="6"/>
      <c r="K28" s="6"/>
      <c r="L28" s="6"/>
    </row>
    <row r="29" spans="1:13" x14ac:dyDescent="0.35">
      <c r="A29" s="10" t="s">
        <v>402</v>
      </c>
      <c r="D29" s="6"/>
      <c r="E29" s="6"/>
      <c r="F29" s="6"/>
      <c r="G29" s="6"/>
      <c r="H29" s="6"/>
      <c r="I29" s="6"/>
      <c r="J29" s="6"/>
      <c r="K29" s="6"/>
      <c r="L29" s="6"/>
    </row>
    <row r="30" spans="1:13" ht="44.25" customHeight="1" x14ac:dyDescent="0.35">
      <c r="A30" s="10"/>
      <c r="B30" s="8" t="s">
        <v>372</v>
      </c>
      <c r="C30" s="8" t="s">
        <v>373</v>
      </c>
      <c r="D30" s="8" t="s">
        <v>399</v>
      </c>
      <c r="E30" s="8"/>
      <c r="F30" s="8" t="s">
        <v>376</v>
      </c>
      <c r="G30" s="8" t="s">
        <v>377</v>
      </c>
      <c r="H30" s="8" t="s">
        <v>378</v>
      </c>
      <c r="I30" s="8" t="s">
        <v>379</v>
      </c>
      <c r="J30" s="8" t="s">
        <v>380</v>
      </c>
      <c r="K30" s="6"/>
      <c r="L30" s="6"/>
    </row>
    <row r="31" spans="1:13" x14ac:dyDescent="0.35">
      <c r="A31" s="5" t="s">
        <v>403</v>
      </c>
      <c r="B31" s="81">
        <v>21.7</v>
      </c>
      <c r="C31" s="81">
        <f>3%*B31+B31</f>
        <v>22.350999999999999</v>
      </c>
      <c r="D31" s="6">
        <f>C31*350</f>
        <v>7822.8499999999995</v>
      </c>
      <c r="E31" s="6"/>
      <c r="F31" s="6">
        <f>D31</f>
        <v>7822.8499999999995</v>
      </c>
      <c r="G31" s="6">
        <f t="shared" si="12"/>
        <v>598.44802499999992</v>
      </c>
      <c r="H31" s="6">
        <f t="shared" si="18"/>
        <v>113.43132499999999</v>
      </c>
      <c r="I31" s="6">
        <f t="shared" si="19"/>
        <v>34.420540000000003</v>
      </c>
      <c r="J31" s="6"/>
      <c r="K31" s="6"/>
      <c r="L31" s="6"/>
    </row>
    <row r="32" spans="1:13" x14ac:dyDescent="0.35">
      <c r="A32" s="5" t="s">
        <v>404</v>
      </c>
      <c r="B32" s="81">
        <v>21.7</v>
      </c>
      <c r="C32" s="81">
        <f t="shared" ref="C32:C33" si="20">3%*B32+B32</f>
        <v>22.350999999999999</v>
      </c>
      <c r="D32" s="6">
        <f>C32*350</f>
        <v>7822.8499999999995</v>
      </c>
      <c r="E32" s="6"/>
      <c r="F32" s="6">
        <f t="shared" ref="F32:F33" si="21">D32</f>
        <v>7822.8499999999995</v>
      </c>
      <c r="G32" s="6">
        <f t="shared" si="12"/>
        <v>598.44802499999992</v>
      </c>
      <c r="H32" s="6">
        <f t="shared" si="18"/>
        <v>113.43132499999999</v>
      </c>
      <c r="I32" s="6">
        <f t="shared" si="19"/>
        <v>34.420540000000003</v>
      </c>
      <c r="J32" s="6"/>
      <c r="K32" s="6"/>
      <c r="L32" s="6"/>
    </row>
    <row r="33" spans="1:12" x14ac:dyDescent="0.35">
      <c r="A33" s="5" t="s">
        <v>405</v>
      </c>
      <c r="B33" s="81">
        <f>21.85+0.55</f>
        <v>22.400000000000002</v>
      </c>
      <c r="C33" s="81">
        <f t="shared" si="20"/>
        <v>23.072000000000003</v>
      </c>
      <c r="D33" s="6">
        <f>C33*450</f>
        <v>10382.400000000001</v>
      </c>
      <c r="E33" s="6"/>
      <c r="F33" s="6">
        <f t="shared" si="21"/>
        <v>10382.400000000001</v>
      </c>
      <c r="G33" s="6">
        <f t="shared" si="12"/>
        <v>794.25360000000012</v>
      </c>
      <c r="H33" s="6">
        <f t="shared" si="18"/>
        <v>150.54480000000001</v>
      </c>
      <c r="I33" s="6">
        <f t="shared" si="19"/>
        <v>45.682560000000009</v>
      </c>
      <c r="J33" s="6"/>
      <c r="K33" s="6"/>
      <c r="L33" s="6"/>
    </row>
    <row r="34" spans="1:12" s="10" customFormat="1" x14ac:dyDescent="0.35">
      <c r="A34" s="10" t="s">
        <v>397</v>
      </c>
      <c r="E34" s="11"/>
      <c r="F34" s="11">
        <f>SUM(F31:F33)</f>
        <v>26028.1</v>
      </c>
      <c r="G34" s="11">
        <f>SUM(G31:G33)</f>
        <v>1991.1496499999998</v>
      </c>
      <c r="H34" s="11">
        <f t="shared" ref="H34:I34" si="22">SUM(H31:H33)</f>
        <v>377.40744999999998</v>
      </c>
      <c r="I34" s="11">
        <f t="shared" si="22"/>
        <v>114.52364000000001</v>
      </c>
      <c r="J34" s="11"/>
      <c r="K34" s="11"/>
      <c r="L34" s="11"/>
    </row>
    <row r="35" spans="1:12" s="10" customFormat="1" x14ac:dyDescent="0.35">
      <c r="E35" s="11"/>
      <c r="F35" s="11"/>
      <c r="G35" s="11"/>
      <c r="H35" s="11"/>
      <c r="I35" s="11"/>
      <c r="J35" s="11"/>
      <c r="K35" s="11"/>
      <c r="L35" s="11"/>
    </row>
    <row r="36" spans="1:12" s="10" customFormat="1" ht="36" x14ac:dyDescent="0.35">
      <c r="A36" s="10" t="s">
        <v>406</v>
      </c>
      <c r="E36" s="11"/>
      <c r="F36" s="8" t="s">
        <v>376</v>
      </c>
      <c r="G36" s="8" t="s">
        <v>377</v>
      </c>
      <c r="H36" s="8" t="s">
        <v>378</v>
      </c>
      <c r="I36" s="8" t="s">
        <v>379</v>
      </c>
      <c r="J36" s="8" t="s">
        <v>380</v>
      </c>
      <c r="K36" s="11"/>
      <c r="L36" s="11"/>
    </row>
    <row r="37" spans="1:12" x14ac:dyDescent="0.35">
      <c r="A37" s="5" t="s">
        <v>407</v>
      </c>
      <c r="D37" s="5">
        <v>17000</v>
      </c>
      <c r="E37" s="6"/>
      <c r="F37" s="6">
        <v>17000</v>
      </c>
      <c r="G37" s="6">
        <f t="shared" ref="G37:G38" si="23">F37*7.65%</f>
        <v>1300.5</v>
      </c>
      <c r="H37" s="6">
        <f t="shared" ref="H37:H38" si="24">F37*1.45%</f>
        <v>246.49999999999997</v>
      </c>
      <c r="I37" s="6">
        <f t="shared" ref="I37:I38" si="25">F37*0.44%</f>
        <v>74.800000000000011</v>
      </c>
      <c r="J37" s="6"/>
      <c r="K37" s="6"/>
      <c r="L37" s="6"/>
    </row>
    <row r="38" spans="1:12" s="10" customFormat="1" x14ac:dyDescent="0.35">
      <c r="A38" s="10" t="s">
        <v>397</v>
      </c>
      <c r="E38" s="11"/>
      <c r="F38" s="11">
        <v>17000</v>
      </c>
      <c r="G38" s="11">
        <f t="shared" si="23"/>
        <v>1300.5</v>
      </c>
      <c r="H38" s="11">
        <f t="shared" si="24"/>
        <v>246.49999999999997</v>
      </c>
      <c r="I38" s="11">
        <f t="shared" si="25"/>
        <v>74.800000000000011</v>
      </c>
      <c r="J38" s="11"/>
      <c r="K38" s="11"/>
      <c r="L38" s="11"/>
    </row>
    <row r="39" spans="1:12" s="10" customFormat="1" x14ac:dyDescent="0.35">
      <c r="E39" s="11"/>
      <c r="F39" s="11"/>
      <c r="G39" s="11"/>
      <c r="H39" s="11"/>
      <c r="I39" s="11"/>
      <c r="J39" s="11"/>
      <c r="K39" s="11"/>
      <c r="L39" s="11"/>
    </row>
    <row r="40" spans="1:12" s="10" customFormat="1" ht="61.95" customHeight="1" x14ac:dyDescent="0.35">
      <c r="I40" s="10" t="s">
        <v>397</v>
      </c>
      <c r="J40" s="13" t="s">
        <v>408</v>
      </c>
      <c r="K40" s="12">
        <f>K20+K13+K27</f>
        <v>171836.84</v>
      </c>
      <c r="L40" s="12">
        <f>L27+L20+L13</f>
        <v>29700</v>
      </c>
    </row>
  </sheetData>
  <pageMargins left="0.7" right="0.7" top="0.75" bottom="0.75" header="0.3" footer="0.3"/>
  <pageSetup scale="62" orientation="landscape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26BEDCB525843B5B5DC10EBB5612F" ma:contentTypeVersion="11" ma:contentTypeDescription="Create a new document." ma:contentTypeScope="" ma:versionID="fdc95ee1866672f617af5ef74bf159ac">
  <xsd:schema xmlns:xsd="http://www.w3.org/2001/XMLSchema" xmlns:xs="http://www.w3.org/2001/XMLSchema" xmlns:p="http://schemas.microsoft.com/office/2006/metadata/properties" xmlns:ns2="aaf89de7-e90f-4498-b82f-cfd824fdf69f" xmlns:ns3="ca9fea46-22b1-4d83-8e0c-df112a487b05" targetNamespace="http://schemas.microsoft.com/office/2006/metadata/properties" ma:root="true" ma:fieldsID="920686b68344c0323242e5d76a751b60" ns2:_="" ns3:_="">
    <xsd:import namespace="aaf89de7-e90f-4498-b82f-cfd824fdf69f"/>
    <xsd:import namespace="ca9fea46-22b1-4d83-8e0c-df112a487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89de7-e90f-4498-b82f-cfd824fdf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f3a59a3-871b-45d4-801b-0783c47b05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fea46-22b1-4d83-8e0c-df112a487b0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3f16d4-f710-4bbb-8818-c5fde00dca70}" ma:internalName="TaxCatchAll" ma:showField="CatchAllData" ma:web="ca9fea46-22b1-4d83-8e0c-df112a487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f89de7-e90f-4498-b82f-cfd824fdf69f">
      <Terms xmlns="http://schemas.microsoft.com/office/infopath/2007/PartnerControls"/>
    </lcf76f155ced4ddcb4097134ff3c332f>
    <TaxCatchAll xmlns="ca9fea46-22b1-4d83-8e0c-df112a487b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1AAA1-D48B-4741-8F9F-2A89FAC5E2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89de7-e90f-4498-b82f-cfd824fdf69f"/>
    <ds:schemaRef ds:uri="ca9fea46-22b1-4d83-8e0c-df112a487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CE479-54D7-4077-964B-A03D1430DC46}">
  <ds:schemaRefs>
    <ds:schemaRef ds:uri="http://schemas.microsoft.com/office/2006/metadata/properties"/>
    <ds:schemaRef ds:uri="http://schemas.microsoft.com/office/infopath/2007/PartnerControls"/>
    <ds:schemaRef ds:uri="aaf89de7-e90f-4498-b82f-cfd824fdf69f"/>
    <ds:schemaRef ds:uri="ca9fea46-22b1-4d83-8e0c-df112a487b05"/>
  </ds:schemaRefs>
</ds:datastoreItem>
</file>

<file path=customXml/itemProps3.xml><?xml version="1.0" encoding="utf-8"?>
<ds:datastoreItem xmlns:ds="http://schemas.openxmlformats.org/officeDocument/2006/customXml" ds:itemID="{DEF8BE54-6BE8-4956-A313-6930949336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Fund Budget</vt:lpstr>
      <vt:lpstr>Appropriations</vt:lpstr>
      <vt:lpstr>Highway Budget</vt:lpstr>
      <vt:lpstr>Sewer</vt:lpstr>
      <vt:lpstr>Tax Rate</vt:lpstr>
      <vt:lpstr>Payroll &amp; Benefits</vt:lpstr>
      <vt:lpstr>'General Fund Budget'!Print_Area</vt:lpstr>
      <vt:lpstr>'Highway Budget'!Print_Area</vt:lpstr>
      <vt:lpstr>Sewer!Print_Area</vt:lpstr>
      <vt:lpstr>'General Fund Budget'!Print_Titles</vt:lpstr>
      <vt:lpstr>'Highway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</dc:creator>
  <cp:keywords/>
  <dc:description/>
  <cp:lastModifiedBy>Michelle Leclerc</cp:lastModifiedBy>
  <cp:revision/>
  <dcterms:created xsi:type="dcterms:W3CDTF">2023-12-21T18:33:15Z</dcterms:created>
  <dcterms:modified xsi:type="dcterms:W3CDTF">2026-01-26T16:13:50Z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0x0101001DF26BEDCB525843B5B5DC10EBB5612F</vt:lpwstr>
  </property>
  <property fmtid="{D5CDD505-2E9C-101B-9397-08002B2CF9AE}" pid="3" name="MediaServiceImageTags">
    <vt:lpwstr/>
  </property>
</Properties>
</file>